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B:\2020-CNPF\1.CARBONE\1.Projets\GT2i\62 - Eps (GT2i n° 2)\CNPF C+for n° 70 Eps (GT2i n° 2)\"/>
    </mc:Choice>
  </mc:AlternateContent>
  <bookViews>
    <workbookView xWindow="0" yWindow="0" windowWidth="28800" windowHeight="11184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8" i="1" l="1"/>
  <c r="D258" i="1"/>
  <c r="D205" i="1"/>
  <c r="D179" i="1"/>
  <c r="D133" i="1"/>
  <c r="D90" i="1" l="1"/>
  <c r="D67" i="1"/>
  <c r="D55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HI7" i="2"/>
  <c r="EX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HG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C14" i="2"/>
  <c r="HH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V18" i="2"/>
  <c r="EW18" i="2"/>
  <c r="EX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HG20" i="2"/>
  <c r="HH20" i="2"/>
  <c r="EW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HI21" i="2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W22" i="2"/>
  <c r="HG22" i="2"/>
  <c r="EB22" i="2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HI28" i="2"/>
  <c r="HG28" i="2"/>
  <c r="EV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EA33" i="2"/>
  <c r="HG33" i="2"/>
  <c r="EW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HH35" i="2"/>
  <c r="FQ35" i="2"/>
  <c r="EB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G38" i="2"/>
  <c r="HI38" i="2"/>
  <c r="HH38" i="2"/>
  <c r="FS38" i="2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HH44" i="2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HI45" i="2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X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H57" i="2"/>
  <c r="HI57" i="2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I60" i="2"/>
  <c r="HG60" i="2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V61" i="2"/>
  <c r="EW61" i="2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HG74" i="2"/>
  <c r="FS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HH75" i="2"/>
  <c r="FS75" i="2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EV85" i="2"/>
  <c r="HH85" i="2"/>
  <c r="HI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HH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W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FQ112" i="2"/>
  <c r="EX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C113" i="2"/>
  <c r="EB113" i="2"/>
  <c r="HG113" i="2"/>
  <c r="FS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C116" i="2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HI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HH118" i="2"/>
  <c r="FS118" i="2"/>
  <c r="EX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HI120" i="2"/>
  <c r="FQ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HI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HH122" i="2"/>
  <c r="FS122" i="2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HH124" i="2"/>
  <c r="EW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HG130" i="2"/>
  <c r="HH130" i="2"/>
  <c r="FS130" i="2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G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FR140" i="2"/>
  <c r="HG140" i="2"/>
  <c r="EX140" i="2"/>
  <c r="EB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B141" i="2"/>
  <c r="HG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A144" i="2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A145" i="2"/>
  <c r="HG145" i="2"/>
  <c r="HH145" i="2"/>
  <c r="EX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HH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HG149" i="2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HG150" i="2"/>
  <c r="HH150" i="2"/>
  <c r="FS150" i="2"/>
  <c r="EV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HJ154" i="2"/>
  <c r="EY154" i="2"/>
  <c r="ED154" i="2"/>
  <c r="HH155" i="2"/>
  <c r="HG155" i="2"/>
  <c r="EW155" i="2"/>
  <c r="EX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FS156" i="2" l="1"/>
  <c r="EY155" i="2"/>
  <c r="ED155" i="2"/>
  <c r="AB156" i="2"/>
  <c r="HG156" i="2"/>
  <c r="HI156" i="2"/>
  <c r="HH156" i="2"/>
  <c r="EX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CN156" i="2"/>
  <c r="HH157" i="2"/>
  <c r="EX157" i="2"/>
  <c r="EB157" i="2"/>
  <c r="EA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ED157" i="2"/>
  <c r="HH158" i="2"/>
  <c r="EW158" i="2"/>
  <c r="EV158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C159" i="2"/>
  <c r="HH159" i="2"/>
  <c r="HI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EC160" i="2"/>
  <c r="HI160" i="2"/>
  <c r="HG160" i="2"/>
  <c r="HH160" i="2"/>
  <c r="FS160" i="2"/>
  <c r="ED159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D160" i="2" l="1"/>
  <c r="HH161" i="2"/>
  <c r="HG161" i="2"/>
  <c r="EX161" i="2"/>
  <c r="EB161" i="2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D161" i="2"/>
  <c r="EB162" i="2"/>
  <c r="HH162" i="2"/>
  <c r="HG162" i="2"/>
  <c r="EW162" i="2"/>
  <c r="EC162" i="2"/>
  <c r="DI161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B163" i="2"/>
  <c r="ED162" i="2"/>
  <c r="HI163" i="2"/>
  <c r="HH163" i="2"/>
  <c r="HG163" i="2"/>
  <c r="EV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H164" i="2" l="1"/>
  <c r="EY163" i="2"/>
  <c r="ED163" i="2"/>
  <c r="EA164" i="2"/>
  <c r="HG164" i="2"/>
  <c r="FR164" i="2"/>
  <c r="FS164" i="2"/>
  <c r="EX164" i="2"/>
  <c r="EV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HG165" i="2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HG166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HH167" i="2"/>
  <c r="HI167" i="2"/>
  <c r="FR167" i="2"/>
  <c r="EX167" i="2"/>
  <c r="EA167" i="2"/>
  <c r="EB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I167" i="2"/>
  <c r="DG168" i="2"/>
  <c r="HH168" i="2"/>
  <c r="HI168" i="2"/>
  <c r="EW168" i="2"/>
  <c r="EV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B169" i="2"/>
  <c r="HH169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B172" i="2"/>
  <c r="HG172" i="2"/>
  <c r="HI172" i="2"/>
  <c r="EV172" i="2"/>
  <c r="EW172" i="2"/>
  <c r="EA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D172" i="2"/>
  <c r="HJ172" i="2"/>
  <c r="HH173" i="2"/>
  <c r="EX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Y173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EA175" i="2"/>
  <c r="ED174" i="2"/>
  <c r="HI175" i="2"/>
  <c r="FS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EC177" i="2"/>
  <c r="HH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W178" i="2"/>
  <c r="HH178" i="2"/>
  <c r="HG178" i="2"/>
  <c r="FS178" i="2"/>
  <c r="EA178" i="2"/>
  <c r="ED177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HH179" i="2" l="1"/>
  <c r="ED178" i="2"/>
  <c r="EA179" i="2"/>
  <c r="HG179" i="2"/>
  <c r="HI179" i="2"/>
  <c r="EV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HI180" i="2"/>
  <c r="HG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EB183" i="2"/>
  <c r="FS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HI185" i="2"/>
  <c r="HH185" i="2"/>
  <c r="HG185" i="2"/>
  <c r="EW185" i="2"/>
  <c r="EV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D185" i="2"/>
  <c r="EB186" i="2"/>
  <c r="HG186" i="2"/>
  <c r="HH186" i="2"/>
  <c r="FR186" i="2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HH187" i="2"/>
  <c r="HG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ED187" i="2"/>
  <c r="HI188" i="2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HH189" i="2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EV190" i="2"/>
  <c r="EY189" i="2"/>
  <c r="ED189" i="2"/>
  <c r="EB190" i="2"/>
  <c r="HH190" i="2"/>
  <c r="HG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H191" i="2"/>
  <c r="HG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H192" i="2" l="1"/>
  <c r="EW192" i="2"/>
  <c r="EY191" i="2"/>
  <c r="HG192" i="2"/>
  <c r="HI192" i="2"/>
  <c r="EV192" i="2"/>
  <c r="EB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EA193" i="2"/>
  <c r="EB193" i="2"/>
  <c r="HI193" i="2"/>
  <c r="FQ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EB194" i="2"/>
  <c r="ED193" i="2"/>
  <c r="EA194" i="2"/>
  <c r="CN193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FQ195" i="2" l="1"/>
  <c r="EA195" i="2"/>
  <c r="EB195" i="2"/>
  <c r="ED194" i="2"/>
  <c r="HG195" i="2"/>
  <c r="HI195" i="2"/>
  <c r="EY194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Y196" i="2"/>
  <c r="HG197" i="2"/>
  <c r="HH197" i="2"/>
  <c r="FS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D197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W199" i="2" l="1"/>
  <c r="EY198" i="2"/>
  <c r="EV199" i="2"/>
  <c r="EB199" i="2"/>
  <c r="HH199" i="2"/>
  <c r="HG199" i="2"/>
  <c r="FS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J200" i="2" l="1"/>
  <c r="ED200" i="2"/>
  <c r="DI200" i="2"/>
  <c r="HH201" i="2"/>
  <c r="HG201" i="2"/>
  <c r="FS201" i="2"/>
  <c r="EB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H202" i="2" l="1"/>
  <c r="HG202" i="2"/>
  <c r="EX202" i="2"/>
  <c r="ED201" i="2"/>
  <c r="FR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AH92" i="2" a="1"/>
  <c r="AH92" i="2" s="1"/>
  <c r="FD21" i="2" a="1"/>
  <c r="FD21" i="2" s="1"/>
  <c r="FD144" i="2" a="1"/>
  <c r="FD144" i="2" s="1"/>
  <c r="FD59" i="2" a="1"/>
  <c r="FD59" i="2" s="1"/>
  <c r="DN56" i="2" a="1"/>
  <c r="DN56" i="2" s="1"/>
  <c r="EI106" i="2" a="1"/>
  <c r="EI106" i="2" s="1"/>
  <c r="EI29" i="2" a="1"/>
  <c r="EI29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98" i="2" a="1"/>
  <c r="GT198" i="2" s="1"/>
  <c r="GT74" i="2" a="1"/>
  <c r="GT74" i="2" s="1"/>
  <c r="GT126" i="2" a="1"/>
  <c r="GT126" i="2" s="1"/>
  <c r="GT174" i="2" a="1"/>
  <c r="GT174" i="2" s="1"/>
  <c r="GT15" i="2" a="1"/>
  <c r="GT15" i="2" s="1"/>
  <c r="EI87" i="2" a="1"/>
  <c r="EI87" i="2" s="1"/>
  <c r="EI36" i="2" a="1"/>
  <c r="EI36" i="2" s="1"/>
  <c r="EI113" i="2" a="1"/>
  <c r="EI113" i="2" s="1"/>
  <c r="EI16" i="2" a="1"/>
  <c r="EI16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AX200" i="2"/>
  <c r="HJ202" i="2" l="1"/>
  <c r="GT147" i="2" a="1"/>
  <c r="GT147" i="2" s="1"/>
  <c r="GT138" i="2" a="1"/>
  <c r="GT138" i="2" s="1"/>
  <c r="GT178" i="2" a="1"/>
  <c r="GT178" i="2" s="1"/>
  <c r="GT107" i="2" a="1"/>
  <c r="GT107" i="2" s="1"/>
  <c r="GT189" i="2" a="1"/>
  <c r="GT189" i="2" s="1"/>
  <c r="GT102" i="2" a="1"/>
  <c r="GT102" i="2" s="1"/>
  <c r="GT21" i="2" a="1"/>
  <c r="GT21" i="2" s="1"/>
  <c r="GT51" i="2" a="1"/>
  <c r="GT51" i="2" s="1"/>
  <c r="GT190" i="2" a="1"/>
  <c r="GT190" i="2" s="1"/>
  <c r="GT12" i="2" a="1"/>
  <c r="GT12" i="2" s="1"/>
  <c r="GT191" i="2" a="1"/>
  <c r="GT191" i="2" s="1"/>
  <c r="GT38" i="2" a="1"/>
  <c r="GT38" i="2" s="1"/>
  <c r="HH203" i="2"/>
  <c r="GT152" i="2" a="1"/>
  <c r="GT152" i="2" s="1"/>
  <c r="GT33" i="2" a="1"/>
  <c r="GT33" i="2" s="1"/>
  <c r="GT184" i="2" a="1"/>
  <c r="GT184" i="2" s="1"/>
  <c r="GT11" i="2" a="1"/>
  <c r="GT11" i="2" s="1"/>
  <c r="GT121" i="2" a="1"/>
  <c r="GT121" i="2" s="1"/>
  <c r="GT122" i="2" a="1"/>
  <c r="GT122" i="2" s="1"/>
  <c r="HG203" i="2"/>
  <c r="GT68" i="2" a="1"/>
  <c r="GT68" i="2" s="1"/>
  <c r="GT181" i="2" a="1"/>
  <c r="GT181" i="2" s="1"/>
  <c r="GT115" i="2" a="1"/>
  <c r="GT115" i="2" s="1"/>
  <c r="GT133" i="2" a="1"/>
  <c r="GT133" i="2" s="1"/>
  <c r="FY32" i="2" a="1"/>
  <c r="FY32" i="2" s="1"/>
  <c r="FY178" i="2" a="1"/>
  <c r="FY178" i="2" s="1"/>
  <c r="FY142" i="2" a="1"/>
  <c r="FY142" i="2" s="1"/>
  <c r="FY120" i="2" a="1"/>
  <c r="FY120" i="2" s="1"/>
  <c r="FY115" i="2" a="1"/>
  <c r="FY115" i="2" s="1"/>
  <c r="FY86" i="2" a="1"/>
  <c r="FY86" i="2" s="1"/>
  <c r="FY167" i="2" a="1"/>
  <c r="FY167" i="2" s="1"/>
  <c r="FY71" i="2" a="1"/>
  <c r="FY71" i="2" s="1"/>
  <c r="FY164" i="2" a="1"/>
  <c r="FY164" i="2" s="1"/>
  <c r="FY149" i="2" a="1"/>
  <c r="FY149" i="2" s="1"/>
  <c r="FY143" i="2" a="1"/>
  <c r="FY143" i="2" s="1"/>
  <c r="FY146" i="2" a="1"/>
  <c r="FY146" i="2" s="1"/>
  <c r="FY99" i="2" a="1"/>
  <c r="FY99" i="2" s="1"/>
  <c r="FY116" i="2" a="1"/>
  <c r="FY116" i="2" s="1"/>
  <c r="FY159" i="2" a="1"/>
  <c r="FY159" i="2" s="1"/>
  <c r="FY58" i="2" a="1"/>
  <c r="FY58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54" i="2" a="1"/>
  <c r="FY54" i="2" s="1"/>
  <c r="FY80" i="2" a="1"/>
  <c r="FY80" i="2" s="1"/>
  <c r="FY30" i="2" a="1"/>
  <c r="FY30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50" i="2" a="1"/>
  <c r="FY50" i="2" s="1"/>
  <c r="FY42" i="2" a="1"/>
  <c r="FY42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47" i="2" a="1"/>
  <c r="FY47" i="2" s="1"/>
  <c r="FY196" i="2" a="1"/>
  <c r="FY196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82" i="2" a="1"/>
  <c r="FY82" i="2" s="1"/>
  <c r="FY104" i="2" a="1"/>
  <c r="FY104" i="2" s="1"/>
  <c r="FY190" i="2" a="1"/>
  <c r="FY190" i="2" s="1"/>
  <c r="FY78" i="2" a="1"/>
  <c r="FY78" i="2" s="1"/>
  <c r="FY186" i="2" a="1"/>
  <c r="FY186" i="2" s="1"/>
  <c r="FY69" i="2" a="1"/>
  <c r="FY69" i="2" s="1"/>
  <c r="FY35" i="2" a="1"/>
  <c r="FY35" i="2" s="1"/>
  <c r="FY121" i="2" a="1"/>
  <c r="FY121" i="2" s="1"/>
  <c r="FY182" i="2" a="1"/>
  <c r="FY182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FY79" i="2" a="1"/>
  <c r="FY79" i="2" s="1"/>
  <c r="FY22" i="2" a="1"/>
  <c r="FY22" i="2" s="1"/>
  <c r="FY90" i="2" a="1"/>
  <c r="FY90" i="2" s="1"/>
  <c r="FY57" i="2" a="1"/>
  <c r="FY57" i="2" s="1"/>
  <c r="DN43" i="2" a="1"/>
  <c r="DN43" i="2" s="1"/>
  <c r="DN186" i="2" a="1"/>
  <c r="DN186" i="2" s="1"/>
  <c r="DN137" i="2" a="1"/>
  <c r="DN137" i="2" s="1"/>
  <c r="EI37" i="2" a="1"/>
  <c r="EI37" i="2" s="1"/>
  <c r="EI67" i="2" a="1"/>
  <c r="EI67" i="2" s="1"/>
  <c r="EI71" i="2" a="1"/>
  <c r="EI71" i="2" s="1"/>
  <c r="EI162" i="2" a="1"/>
  <c r="EI162" i="2" s="1"/>
  <c r="EI20" i="2" a="1"/>
  <c r="EI20" i="2" s="1"/>
  <c r="EI170" i="2" a="1"/>
  <c r="EI170" i="2" s="1"/>
  <c r="EI57" i="2" a="1"/>
  <c r="EI57" i="2" s="1"/>
  <c r="EI150" i="2" a="1"/>
  <c r="EI150" i="2" s="1"/>
  <c r="EI128" i="2" a="1"/>
  <c r="EI128" i="2" s="1"/>
  <c r="EI109" i="2" a="1"/>
  <c r="EI109" i="2" s="1"/>
  <c r="EI153" i="2" a="1"/>
  <c r="EI153" i="2" s="1"/>
  <c r="EI38" i="2" a="1"/>
  <c r="EI38" i="2" s="1"/>
  <c r="EI142" i="2" a="1"/>
  <c r="EI142" i="2" s="1"/>
  <c r="EI166" i="2" a="1"/>
  <c r="EI166" i="2" s="1"/>
  <c r="EI35" i="2" a="1"/>
  <c r="EI35" i="2" s="1"/>
  <c r="EI34" i="2" a="1"/>
  <c r="EI34" i="2" s="1"/>
  <c r="EI178" i="2" a="1"/>
  <c r="EI178" i="2" s="1"/>
  <c r="EI198" i="2" a="1"/>
  <c r="EI198" i="2" s="1"/>
  <c r="EI139" i="2" a="1"/>
  <c r="EI139" i="2" s="1"/>
  <c r="EI165" i="2" a="1"/>
  <c r="EI165" i="2" s="1"/>
  <c r="EI145" i="2" a="1"/>
  <c r="EI145" i="2" s="1"/>
  <c r="BC83" i="2" a="1"/>
  <c r="BC83" i="2" s="1"/>
  <c r="BC84" i="2" a="1"/>
  <c r="BC84" i="2" s="1"/>
  <c r="BC18" i="2" a="1"/>
  <c r="BC18" i="2" s="1"/>
  <c r="BC7" i="2" a="1"/>
  <c r="BC7" i="2" s="1"/>
  <c r="BC114" i="2" a="1"/>
  <c r="BC114" i="2" s="1"/>
  <c r="BC82" i="2" a="1"/>
  <c r="BC82" i="2" s="1"/>
  <c r="BC164" i="2" a="1"/>
  <c r="BC164" i="2" s="1"/>
  <c r="BC38" i="2" a="1"/>
  <c r="BC38" i="2" s="1"/>
  <c r="BC32" i="2" a="1"/>
  <c r="BC32" i="2" s="1"/>
  <c r="BC126" i="2" a="1"/>
  <c r="BC126" i="2" s="1"/>
  <c r="BC151" i="2" a="1"/>
  <c r="BC151" i="2" s="1"/>
  <c r="BC192" i="2" a="1"/>
  <c r="BC192" i="2" s="1"/>
  <c r="BC47" i="2" a="1"/>
  <c r="BC47" i="2" s="1"/>
  <c r="BC68" i="2" a="1"/>
  <c r="BC68" i="2" s="1"/>
  <c r="BC55" i="2" a="1"/>
  <c r="BC55" i="2" s="1"/>
  <c r="BC130" i="2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185" i="2" a="1"/>
  <c r="BC185" i="2" s="1"/>
  <c r="BC31" i="2" a="1"/>
  <c r="BC31" i="2" s="1"/>
  <c r="BC65" i="2" a="1"/>
  <c r="BC65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ED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Y166" i="2" l="1"/>
  <c r="CY162" i="2"/>
  <c r="CY24" i="2"/>
  <c r="CY43" i="2"/>
  <c r="CY95" i="2"/>
  <c r="CY102" i="2"/>
  <c r="CY132" i="2"/>
  <c r="CY169" i="2"/>
  <c r="CY51" i="2"/>
  <c r="CY191" i="2"/>
  <c r="CY89" i="2"/>
  <c r="CY131" i="2"/>
  <c r="CY50" i="2"/>
  <c r="CY79" i="2"/>
  <c r="CY114" i="2"/>
  <c r="CY180" i="2"/>
  <c r="CY171" i="2"/>
  <c r="CY182" i="2"/>
  <c r="CY141" i="2"/>
  <c r="CY187" i="2"/>
  <c r="CY192" i="2"/>
  <c r="CY158" i="2"/>
  <c r="CY138" i="2"/>
  <c r="CY55" i="2"/>
  <c r="CY175" i="2"/>
  <c r="CY65" i="2"/>
  <c r="CY145" i="2"/>
  <c r="CY107" i="2"/>
  <c r="CY91" i="2"/>
  <c r="CY77" i="2"/>
  <c r="CY163" i="2"/>
  <c r="CY142" i="2"/>
  <c r="CY87" i="2"/>
  <c r="CY111" i="2"/>
  <c r="CY127" i="2"/>
  <c r="CY46" i="2"/>
  <c r="CY81" i="2"/>
  <c r="CY31" i="2"/>
  <c r="CY106" i="2"/>
  <c r="CY101" i="2"/>
  <c r="CY29" i="2"/>
  <c r="CY154" i="2"/>
  <c r="CY125" i="2"/>
  <c r="CY164" i="2"/>
  <c r="CY200" i="2"/>
  <c r="CY68" i="2"/>
  <c r="CY193" i="2"/>
  <c r="CY123" i="2"/>
  <c r="CY198" i="2"/>
  <c r="CY104" i="2"/>
  <c r="CY110" i="2"/>
  <c r="CY135" i="2"/>
  <c r="CY148" i="2"/>
  <c r="CY70" i="2"/>
  <c r="CY137" i="2"/>
  <c r="CY59" i="2"/>
  <c r="CY49" i="2"/>
  <c r="CY178" i="2"/>
  <c r="CY93" i="2"/>
  <c r="CY7" i="2"/>
  <c r="CY184" i="2"/>
  <c r="CY167" i="2"/>
  <c r="CY197" i="2"/>
  <c r="CY74" i="2"/>
  <c r="CY133" i="2"/>
  <c r="CY30" i="2"/>
  <c r="CY28" i="2"/>
  <c r="CY120" i="2"/>
  <c r="CY94" i="2"/>
  <c r="CY96" i="2"/>
  <c r="CY78" i="2"/>
  <c r="CY67" i="2"/>
  <c r="CY115" i="2"/>
  <c r="CY179" i="2"/>
  <c r="CY203" i="2"/>
  <c r="CY190" i="2"/>
  <c r="CY117" i="2"/>
  <c r="CY109" i="2"/>
  <c r="CY199" i="2"/>
  <c r="CY18" i="2"/>
  <c r="CY153" i="2"/>
  <c r="CY128" i="2"/>
  <c r="CY47" i="2"/>
  <c r="CY174" i="2"/>
  <c r="CY5" i="2"/>
  <c r="CY103" i="2"/>
  <c r="CY202" i="2"/>
  <c r="CY72" i="2"/>
  <c r="CY26" i="2"/>
  <c r="CY42" i="2"/>
  <c r="CY71" i="2"/>
  <c r="CY82" i="2"/>
  <c r="CY52" i="2"/>
  <c r="CY23" i="2"/>
  <c r="CY48" i="2"/>
  <c r="CY149" i="2"/>
  <c r="CY181" i="2"/>
  <c r="CY119" i="2"/>
  <c r="CY10" i="2"/>
  <c r="CY170" i="2"/>
  <c r="CY173" i="2"/>
  <c r="CY92" i="2"/>
  <c r="CY118" i="2"/>
  <c r="CY185" i="2"/>
  <c r="CY20" i="2"/>
  <c r="CY139" i="2"/>
  <c r="CY161" i="2"/>
  <c r="CY14" i="2"/>
  <c r="CY122" i="2"/>
  <c r="CY19" i="2"/>
  <c r="CY62" i="2"/>
  <c r="CY60" i="2"/>
  <c r="CY56" i="2"/>
  <c r="CY38" i="2"/>
  <c r="CY113" i="2"/>
  <c r="CY8" i="2"/>
  <c r="CY85" i="2"/>
  <c r="CY64" i="2"/>
  <c r="CY157" i="2"/>
  <c r="CY108" i="2"/>
  <c r="CY105" i="2"/>
  <c r="CY126" i="2"/>
  <c r="CY100" i="2"/>
  <c r="CY144" i="2"/>
  <c r="CY160" i="2"/>
  <c r="CY80" i="2"/>
  <c r="CY75" i="2"/>
  <c r="CY54" i="2"/>
  <c r="CY112" i="2"/>
  <c r="CY121" i="2"/>
  <c r="CY140" i="2"/>
  <c r="CY36" i="2"/>
  <c r="CY66" i="2"/>
  <c r="CY124" i="2"/>
  <c r="CY155" i="2"/>
  <c r="CY177" i="2"/>
  <c r="CY39" i="2"/>
  <c r="CY53" i="2"/>
  <c r="CY17" i="2"/>
  <c r="CY4" i="2"/>
  <c r="CY90" i="2"/>
  <c r="CY195" i="2"/>
  <c r="CY159" i="2"/>
  <c r="CY33" i="2"/>
  <c r="CY134" i="2"/>
  <c r="CY22" i="2"/>
  <c r="CY9" i="2"/>
  <c r="CY97" i="2"/>
  <c r="CY129" i="2"/>
  <c r="CY176" i="2"/>
  <c r="CY76" i="2"/>
  <c r="CY88" i="2"/>
  <c r="CY172" i="2"/>
  <c r="CY84" i="2"/>
  <c r="CY99" i="2"/>
  <c r="CY12" i="2"/>
  <c r="CY61" i="2"/>
  <c r="CY183" i="2"/>
  <c r="CY13" i="2"/>
  <c r="CY168" i="2"/>
  <c r="CY3" i="2"/>
  <c r="C10" i="4" s="1"/>
  <c r="E10" i="4" s="1"/>
  <c r="F10" i="4" s="1"/>
  <c r="G10" i="4" s="1"/>
  <c r="L10" i="4" s="1"/>
  <c r="CY189" i="2"/>
  <c r="CY45" i="2"/>
  <c r="CY196" i="2"/>
  <c r="CY37" i="2"/>
  <c r="CY194" i="2"/>
  <c r="CY21" i="2"/>
  <c r="CY40" i="2"/>
  <c r="CY41" i="2"/>
  <c r="CY156" i="2"/>
  <c r="CY15" i="2"/>
  <c r="CY32" i="2"/>
  <c r="CY63" i="2"/>
  <c r="CY44" i="2"/>
  <c r="CY35" i="2"/>
  <c r="CY25" i="2"/>
  <c r="CY98" i="2"/>
  <c r="CY16" i="2"/>
  <c r="CY86" i="2"/>
  <c r="CY186" i="2"/>
  <c r="CY34" i="2"/>
  <c r="CY116" i="2"/>
  <c r="CY11" i="2"/>
  <c r="CY69" i="2"/>
  <c r="CY143" i="2"/>
  <c r="CY147" i="2"/>
  <c r="CY130" i="2"/>
  <c r="CY201" i="2"/>
  <c r="CY151" i="2"/>
  <c r="CY83" i="2"/>
  <c r="CY188" i="2"/>
  <c r="CY57" i="2"/>
  <c r="CY165" i="2"/>
  <c r="CY27" i="2"/>
  <c r="CY58" i="2"/>
  <c r="CY146" i="2"/>
  <c r="CY73" i="2"/>
  <c r="CY6" i="2"/>
  <c r="CY152" i="2"/>
  <c r="CY136" i="2"/>
  <c r="CY150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<sst xmlns="http://schemas.openxmlformats.org/spreadsheetml/2006/main" count="1179" uniqueCount="324">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</sst>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149.08257770166853</c:v>
                </c:pt>
                <c:pt idx="27">
                  <c:v>163.80222667670475</c:v>
                </c:pt>
                <c:pt idx="28">
                  <c:v>178.49060685103379</c:v>
                </c:pt>
                <c:pt idx="29">
                  <c:v>193.15065517554152</c:v>
                </c:pt>
                <c:pt idx="30">
                  <c:v>207.78482577779434</c:v>
                </c:pt>
                <c:pt idx="31">
                  <c:v>224.48055915021379</c:v>
                </c:pt>
                <c:pt idx="32">
                  <c:v>241.14783811393806</c:v>
                </c:pt>
                <c:pt idx="33">
                  <c:v>257.78890626510469</c:v>
                </c:pt>
                <c:pt idx="34">
                  <c:v>274.40569374429145</c:v>
                </c:pt>
                <c:pt idx="35">
                  <c:v>290.99987776518356</c:v>
                </c:pt>
                <c:pt idx="36">
                  <c:v>221.14376696934889</c:v>
                </c:pt>
                <c:pt idx="37">
                  <c:v>238.64946815456815</c:v>
                </c:pt>
                <c:pt idx="38">
                  <c:v>256.12592177262371</c:v>
                </c:pt>
                <c:pt idx="39">
                  <c:v>273.5754042390106</c:v>
                </c:pt>
                <c:pt idx="40">
                  <c:v>290.99987776518356</c:v>
                </c:pt>
                <c:pt idx="41">
                  <c:v>308.40105034381344</c:v>
                </c:pt>
                <c:pt idx="42">
                  <c:v>325.78042147316609</c:v>
                </c:pt>
                <c:pt idx="43">
                  <c:v>343.13931760637462</c:v>
                </c:pt>
                <c:pt idx="44">
                  <c:v>360.47892004811712</c:v>
                </c:pt>
                <c:pt idx="45">
                  <c:v>377.80028720100813</c:v>
                </c:pt>
                <c:pt idx="46">
                  <c:v>307.98699565569297</c:v>
                </c:pt>
                <c:pt idx="47">
                  <c:v>324.95330656071548</c:v>
                </c:pt>
                <c:pt idx="48">
                  <c:v>341.90004953828537</c:v>
                </c:pt>
                <c:pt idx="49">
                  <c:v>358.82833079757535</c:v>
                </c:pt>
                <c:pt idx="50">
                  <c:v>375.7391436687796</c:v>
                </c:pt>
                <c:pt idx="51">
                  <c:v>392.22152076799483</c:v>
                </c:pt>
                <c:pt idx="52">
                  <c:v>408.68888090830461</c:v>
                </c:pt>
                <c:pt idx="53">
                  <c:v>425.14191416939929</c:v>
                </c:pt>
                <c:pt idx="54">
                  <c:v>441.5812528768941</c:v>
                </c:pt>
                <c:pt idx="55">
                  <c:v>458.00747845053729</c:v>
                </c:pt>
                <c:pt idx="56">
                  <c:v>387.27841746168315</c:v>
                </c:pt>
                <c:pt idx="57">
                  <c:v>402.92696857125202</c:v>
                </c:pt>
                <c:pt idx="58">
                  <c:v>418.56237841299998</c:v>
                </c:pt>
                <c:pt idx="59">
                  <c:v>434.18520687835763</c:v>
                </c:pt>
                <c:pt idx="60">
                  <c:v>449.7959702900435</c:v>
                </c:pt>
                <c:pt idx="61">
                  <c:v>464.5744185371193</c:v>
                </c:pt>
                <c:pt idx="62">
                  <c:v>479.34284452811448</c:v>
                </c:pt>
                <c:pt idx="63">
                  <c:v>494.10160044828439</c:v>
                </c:pt>
                <c:pt idx="64">
                  <c:v>508.85101573406092</c:v>
                </c:pt>
                <c:pt idx="65">
                  <c:v>523.59139917298592</c:v>
                </c:pt>
                <c:pt idx="66">
                  <c:v>451.43852652349534</c:v>
                </c:pt>
                <c:pt idx="67">
                  <c:v>465.39514621826976</c:v>
                </c:pt>
                <c:pt idx="68">
                  <c:v>479.34284452811431</c:v>
                </c:pt>
                <c:pt idx="69">
                  <c:v>493.28191755597277</c:v>
                </c:pt>
                <c:pt idx="70">
                  <c:v>507.21264330953437</c:v>
                </c:pt>
                <c:pt idx="71">
                  <c:v>519.90713388491497</c:v>
                </c:pt>
                <c:pt idx="72">
                  <c:v>532.59509002550351</c:v>
                </c:pt>
                <c:pt idx="73">
                  <c:v>545.27668930291225</c:v>
                </c:pt>
                <c:pt idx="74">
                  <c:v>557.95210035753439</c:v>
                </c:pt>
                <c:pt idx="75">
                  <c:v>570.62148354470401</c:v>
                </c:pt>
                <c:pt idx="76">
                  <c:v>496.97026394110162</c:v>
                </c:pt>
                <c:pt idx="77">
                  <c:v>509.26059140461626</c:v>
                </c:pt>
                <c:pt idx="78">
                  <c:v>521.5446528480187</c:v>
                </c:pt>
                <c:pt idx="79">
                  <c:v>533.82261663157112</c:v>
                </c:pt>
                <c:pt idx="80">
                  <c:v>546.09464274073559</c:v>
                </c:pt>
                <c:pt idx="81">
                  <c:v>557.95210035753439</c:v>
                </c:pt>
                <c:pt idx="82">
                  <c:v>569.80428287631264</c:v>
                </c:pt>
                <c:pt idx="83">
                  <c:v>581.65131546152315</c:v>
                </c:pt>
                <c:pt idx="84">
                  <c:v>593.49331776439851</c:v>
                </c:pt>
                <c:pt idx="85">
                  <c:v>605.33040427327262</c:v>
                </c:pt>
                <c:pt idx="86">
                  <c:v>530.13985807620031</c:v>
                </c:pt>
                <c:pt idx="87">
                  <c:v>540.77748384329095</c:v>
                </c:pt>
                <c:pt idx="88">
                  <c:v>551.41071534837454</c:v>
                </c:pt>
                <c:pt idx="89">
                  <c:v>562.03964926820106</c:v>
                </c:pt>
                <c:pt idx="90">
                  <c:v>572.66437832506824</c:v>
                </c:pt>
                <c:pt idx="91">
                  <c:v>583.28499152050153</c:v>
                </c:pt>
                <c:pt idx="92">
                  <c:v>593.90157435102833</c:v>
                </c:pt>
                <c:pt idx="93">
                  <c:v>604.5142090077278</c:v>
                </c:pt>
                <c:pt idx="94">
                  <c:v>615.12297456104193</c:v>
                </c:pt>
                <c:pt idx="95">
                  <c:v>625.72794713217752</c:v>
                </c:pt>
                <c:pt idx="96">
                  <c:v>549.57065854842915</c:v>
                </c:pt>
                <c:pt idx="97">
                  <c:v>559.17843064711394</c:v>
                </c:pt>
                <c:pt idx="98">
                  <c:v>568.78274759401654</c:v>
                </c:pt>
                <c:pt idx="99">
                  <c:v>578.38367595679699</c:v>
                </c:pt>
                <c:pt idx="100">
                  <c:v>587.98127991295848</c:v>
                </c:pt>
                <c:pt idx="101">
                  <c:v>597.57562137411821</c:v>
                </c:pt>
                <c:pt idx="102">
                  <c:v>607.16676010187734</c:v>
                </c:pt>
                <c:pt idx="103">
                  <c:v>616.75475381599483</c:v>
                </c:pt>
                <c:pt idx="104">
                  <c:v>626.33965829548413</c:v>
                </c:pt>
                <c:pt idx="105">
                  <c:v>635.92152747320245</c:v>
                </c:pt>
                <c:pt idx="106">
                  <c:v>560.40470463156862</c:v>
                </c:pt>
                <c:pt idx="107">
                  <c:v>568.57843593837208</c:v>
                </c:pt>
                <c:pt idx="108">
                  <c:v>576.74971189331598</c:v>
                </c:pt>
                <c:pt idx="109">
                  <c:v>584.91857219258907</c:v>
                </c:pt>
                <c:pt idx="110">
                  <c:v>593.0850553330697</c:v>
                </c:pt>
                <c:pt idx="111">
                  <c:v>601.24919866493178</c:v>
                </c:pt>
                <c:pt idx="112">
                  <c:v>609.41103844124279</c:v>
                </c:pt>
                <c:pt idx="113">
                  <c:v>617.5706098647687</c:v>
                </c:pt>
                <c:pt idx="114">
                  <c:v>625.72794713217729</c:v>
                </c:pt>
                <c:pt idx="115">
                  <c:v>633.88308347581449</c:v>
                </c:pt>
                <c:pt idx="116">
                  <c:v>565.30924032241239</c:v>
                </c:pt>
                <c:pt idx="117">
                  <c:v>572.25581156512055</c:v>
                </c:pt>
                <c:pt idx="118">
                  <c:v>579.20062185262395</c:v>
                </c:pt>
                <c:pt idx="119">
                  <c:v>586.14369528207624</c:v>
                </c:pt>
                <c:pt idx="120">
                  <c:v>593.08505533306959</c:v>
                </c:pt>
                <c:pt idx="121">
                  <c:v>600.02472489066076</c:v>
                </c:pt>
                <c:pt idx="122">
                  <c:v>606.96272626727875</c:v>
                </c:pt>
                <c:pt idx="123">
                  <c:v>613.89908122357576</c:v>
                </c:pt>
                <c:pt idx="124">
                  <c:v>620.83381098828875</c:v>
                </c:pt>
                <c:pt idx="125">
                  <c:v>627.76693627716634</c:v>
                </c:pt>
                <c:pt idx="126">
                  <c:v>566.53523487867551</c:v>
                </c:pt>
                <c:pt idx="127">
                  <c:v>572.66437832506745</c:v>
                </c:pt>
                <c:pt idx="128">
                  <c:v>578.79215191198807</c:v>
                </c:pt>
                <c:pt idx="129">
                  <c:v>584.91857219258861</c:v>
                </c:pt>
                <c:pt idx="130">
                  <c:v>591.04365534487772</c:v>
                </c:pt>
                <c:pt idx="131">
                  <c:v>597.16741718410913</c:v>
                </c:pt>
                <c:pt idx="132">
                  <c:v>603.28987317463339</c:v>
                </c:pt>
                <c:pt idx="133">
                  <c:v>609.41103844124234</c:v>
                </c:pt>
                <c:pt idx="134">
                  <c:v>615.53092778003713</c:v>
                </c:pt>
                <c:pt idx="135">
                  <c:v>621.64955566883805</c:v>
                </c:pt>
                <c:pt idx="136">
                  <c:v>567.48874784305497</c:v>
                </c:pt>
                <c:pt idx="137">
                  <c:v>572.52819008178778</c:v>
                </c:pt>
                <c:pt idx="138">
                  <c:v>577.56670598332778</c:v>
                </c:pt>
                <c:pt idx="139">
                  <c:v>582.60430477227158</c:v>
                </c:pt>
                <c:pt idx="140">
                  <c:v>587.64099550061076</c:v>
                </c:pt>
                <c:pt idx="141">
                  <c:v>592.67678705244703</c:v>
                </c:pt>
                <c:pt idx="142">
                  <c:v>597.71168814853706</c:v>
                </c:pt>
                <c:pt idx="143">
                  <c:v>602.7457073506763</c:v>
                </c:pt>
                <c:pt idx="144">
                  <c:v>607.77885306593032</c:v>
                </c:pt>
                <c:pt idx="145">
                  <c:v>612.81113355071682</c:v>
                </c:pt>
                <c:pt idx="146">
                  <c:v>617.84255691474698</c:v>
                </c:pt>
                <c:pt idx="147">
                  <c:v>622.87313112483321</c:v>
                </c:pt>
                <c:pt idx="148">
                  <c:v>627.90286400856496</c:v>
                </c:pt>
                <c:pt idx="149">
                  <c:v>632.93176325786294</c:v>
                </c:pt>
                <c:pt idx="150">
                  <c:v>637.959836432413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00423520"/>
        <c:axId val="-1300417536"/>
      </c:scatterChart>
      <c:valAx>
        <c:axId val="-13004235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00417536"/>
        <c:crosses val="autoZero"/>
        <c:crossBetween val="midCat"/>
      </c:valAx>
      <c:valAx>
        <c:axId val="-1300417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00423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00420800"/>
        <c:axId val="-1300413184"/>
      </c:scatterChart>
      <c:valAx>
        <c:axId val="-1300420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00413184"/>
        <c:crosses val="autoZero"/>
        <c:crossBetween val="midCat"/>
      </c:valAx>
      <c:valAx>
        <c:axId val="-130041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00420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1.983893680152371</c:v>
                </c:pt>
                <c:pt idx="2">
                  <c:v>2.3241938285523456</c:v>
                </c:pt>
                <c:pt idx="3">
                  <c:v>2.7230824351788088</c:v>
                </c:pt>
                <c:pt idx="4">
                  <c:v>3.1906817406424182</c:v>
                </c:pt>
                <c:pt idx="5">
                  <c:v>3.7388685109702808</c:v>
                </c:pt>
                <c:pt idx="6">
                  <c:v>4.3815790814930331</c:v>
                </c:pt>
                <c:pt idx="7">
                  <c:v>5.1351675852609349</c:v>
                </c:pt>
                <c:pt idx="8">
                  <c:v>6.0188266627241909</c:v>
                </c:pt>
                <c:pt idx="9">
                  <c:v>7.0550815783417322</c:v>
                </c:pt>
                <c:pt idx="10">
                  <c:v>8.2703705847397071</c:v>
                </c:pt>
                <c:pt idx="11">
                  <c:v>9.695726626348371</c:v>
                </c:pt>
                <c:pt idx="12">
                  <c:v>11.367578121295702</c:v>
                </c:pt>
                <c:pt idx="13">
                  <c:v>13.328689672354194</c:v>
                </c:pt>
                <c:pt idx="14">
                  <c:v>15.629267216827381</c:v>
                </c:pt>
                <c:pt idx="15">
                  <c:v>18.328256427773912</c:v>
                </c:pt>
                <c:pt idx="16">
                  <c:v>21.494868238244479</c:v>
                </c:pt>
                <c:pt idx="17">
                  <c:v>25.210371309597019</c:v>
                </c:pt>
                <c:pt idx="18">
                  <c:v>29.570198261336841</c:v>
                </c:pt>
                <c:pt idx="19">
                  <c:v>34.686420707874021</c:v>
                </c:pt>
                <c:pt idx="20">
                  <c:v>40.690657824261827</c:v>
                </c:pt>
                <c:pt idx="21">
                  <c:v>47.737494543889852</c:v>
                </c:pt>
                <c:pt idx="22">
                  <c:v>56.008498876899552</c:v>
                </c:pt>
                <c:pt idx="23">
                  <c:v>65.716943582530334</c:v>
                </c:pt>
                <c:pt idx="24">
                  <c:v>77.113355947964735</c:v>
                </c:pt>
                <c:pt idx="25">
                  <c:v>90.492041210372676</c:v>
                </c:pt>
                <c:pt idx="26">
                  <c:v>96.262045139603686</c:v>
                </c:pt>
                <c:pt idx="27">
                  <c:v>102.02343949799173</c:v>
                </c:pt>
                <c:pt idx="28">
                  <c:v>107.77678025171018</c:v>
                </c:pt>
                <c:pt idx="29">
                  <c:v>113.52255899804454</c:v>
                </c:pt>
                <c:pt idx="30">
                  <c:v>119.26121337444529</c:v>
                </c:pt>
                <c:pt idx="31">
                  <c:v>123.84727209125531</c:v>
                </c:pt>
                <c:pt idx="32">
                  <c:v>128.42920528646451</c:v>
                </c:pt>
                <c:pt idx="33">
                  <c:v>133.0071813087005</c:v>
                </c:pt>
                <c:pt idx="34">
                  <c:v>137.58135594016099</c:v>
                </c:pt>
                <c:pt idx="35">
                  <c:v>142.151873731042</c:v>
                </c:pt>
                <c:pt idx="36">
                  <c:v>146.71886915293001</c:v>
                </c:pt>
                <c:pt idx="37">
                  <c:v>151.28246760071548</c:v>
                </c:pt>
                <c:pt idx="38">
                  <c:v>155.84278626699441</c:v>
                </c:pt>
                <c:pt idx="39">
                  <c:v>160.39993490852549</c:v>
                </c:pt>
                <c:pt idx="40">
                  <c:v>164.95401652082666</c:v>
                </c:pt>
                <c:pt idx="41">
                  <c:v>168.50982140403698</c:v>
                </c:pt>
                <c:pt idx="42">
                  <c:v>172.06385728933955</c:v>
                </c:pt>
                <c:pt idx="43">
                  <c:v>175.61616597279644</c:v>
                </c:pt>
                <c:pt idx="44">
                  <c:v>179.16678741707778</c:v>
                </c:pt>
                <c:pt idx="45">
                  <c:v>182.71575986748618</c:v>
                </c:pt>
                <c:pt idx="46">
                  <c:v>186.26311995847524</c:v>
                </c:pt>
                <c:pt idx="47">
                  <c:v>189.80890281161032</c:v>
                </c:pt>
                <c:pt idx="48">
                  <c:v>193.35314212581204</c:v>
                </c:pt>
                <c:pt idx="49">
                  <c:v>196.89587026062097</c:v>
                </c:pt>
                <c:pt idx="50">
                  <c:v>200.43711831314491</c:v>
                </c:pt>
                <c:pt idx="51">
                  <c:v>202.98591727826883</c:v>
                </c:pt>
                <c:pt idx="52">
                  <c:v>205.53397529366757</c:v>
                </c:pt>
                <c:pt idx="53">
                  <c:v>208.08130286734158</c:v>
                </c:pt>
                <c:pt idx="54">
                  <c:v>210.62791022832104</c:v>
                </c:pt>
                <c:pt idx="55">
                  <c:v>213.17380733743676</c:v>
                </c:pt>
                <c:pt idx="56">
                  <c:v>215.71900389754828</c:v>
                </c:pt>
                <c:pt idx="57">
                  <c:v>218.26350936326273</c:v>
                </c:pt>
                <c:pt idx="58">
                  <c:v>220.80733295017703</c:v>
                </c:pt>
                <c:pt idx="59">
                  <c:v>223.35048364366909</c:v>
                </c:pt>
                <c:pt idx="60">
                  <c:v>225.89297020726852</c:v>
                </c:pt>
                <c:pt idx="61">
                  <c:v>227.51699287426655</c:v>
                </c:pt>
                <c:pt idx="62">
                  <c:v>229.14075013654551</c:v>
                </c:pt>
                <c:pt idx="63">
                  <c:v>230.76424414574456</c:v>
                </c:pt>
                <c:pt idx="64">
                  <c:v>232.38747702067306</c:v>
                </c:pt>
                <c:pt idx="65">
                  <c:v>234.01045084804267</c:v>
                </c:pt>
                <c:pt idx="66">
                  <c:v>235.6331676831787</c:v>
                </c:pt>
                <c:pt idx="67">
                  <c:v>237.25562955070964</c:v>
                </c:pt>
                <c:pt idx="68">
                  <c:v>238.87783844523835</c:v>
                </c:pt>
                <c:pt idx="69">
                  <c:v>240.49979633199266</c:v>
                </c:pt>
                <c:pt idx="70">
                  <c:v>242.12150514745795</c:v>
                </c:pt>
                <c:pt idx="71">
                  <c:v>243.74296679999227</c:v>
                </c:pt>
                <c:pt idx="72">
                  <c:v>245.36418317042356</c:v>
                </c:pt>
                <c:pt idx="73">
                  <c:v>246.98515611263065</c:v>
                </c:pt>
                <c:pt idx="74">
                  <c:v>248.60588745410772</c:v>
                </c:pt>
                <c:pt idx="75">
                  <c:v>250.22637899651397</c:v>
                </c:pt>
                <c:pt idx="76">
                  <c:v>251.8466325162079</c:v>
                </c:pt>
                <c:pt idx="77">
                  <c:v>253.46664976476617</c:v>
                </c:pt>
                <c:pt idx="78">
                  <c:v>255.08643246949046</c:v>
                </c:pt>
                <c:pt idx="79">
                  <c:v>256.70598233389921</c:v>
                </c:pt>
                <c:pt idx="80">
                  <c:v>258.32530103820631</c:v>
                </c:pt>
                <c:pt idx="81">
                  <c:v>4.4212233574902864E-12</c:v>
                </c:pt>
                <c:pt idx="82">
                  <c:v>4.4212233574902864E-12</c:v>
                </c:pt>
                <c:pt idx="83">
                  <c:v>4.4212233574902864E-12</c:v>
                </c:pt>
                <c:pt idx="84">
                  <c:v>4.4212233574902864E-12</c:v>
                </c:pt>
                <c:pt idx="85">
                  <c:v>4.4212233574902864E-12</c:v>
                </c:pt>
                <c:pt idx="86">
                  <c:v>4.4212233574902864E-12</c:v>
                </c:pt>
                <c:pt idx="87">
                  <c:v>4.4212233574902864E-12</c:v>
                </c:pt>
                <c:pt idx="88">
                  <c:v>4.4212233574902864E-12</c:v>
                </c:pt>
                <c:pt idx="89">
                  <c:v>4.4212233574902864E-12</c:v>
                </c:pt>
                <c:pt idx="90">
                  <c:v>4.4212233574902864E-12</c:v>
                </c:pt>
                <c:pt idx="91">
                  <c:v>4.4212233574902864E-12</c:v>
                </c:pt>
                <c:pt idx="92">
                  <c:v>4.4212233574902864E-12</c:v>
                </c:pt>
                <c:pt idx="93">
                  <c:v>4.4212233574902864E-12</c:v>
                </c:pt>
                <c:pt idx="94">
                  <c:v>4.4212233574902864E-12</c:v>
                </c:pt>
                <c:pt idx="95">
                  <c:v>4.4212233574902864E-12</c:v>
                </c:pt>
                <c:pt idx="96">
                  <c:v>4.4212233574902864E-12</c:v>
                </c:pt>
                <c:pt idx="97">
                  <c:v>4.4212233574902864E-12</c:v>
                </c:pt>
                <c:pt idx="98">
                  <c:v>4.4212233574902864E-12</c:v>
                </c:pt>
                <c:pt idx="99">
                  <c:v>4.4212233574902864E-12</c:v>
                </c:pt>
                <c:pt idx="100">
                  <c:v>4.4212233574902864E-12</c:v>
                </c:pt>
                <c:pt idx="101">
                  <c:v>4.4212233574902864E-12</c:v>
                </c:pt>
                <c:pt idx="102">
                  <c:v>4.4212233574902864E-12</c:v>
                </c:pt>
                <c:pt idx="103">
                  <c:v>4.4212233574902864E-12</c:v>
                </c:pt>
                <c:pt idx="104">
                  <c:v>4.4212233574902864E-12</c:v>
                </c:pt>
                <c:pt idx="105">
                  <c:v>4.4212233574902864E-12</c:v>
                </c:pt>
                <c:pt idx="106">
                  <c:v>4.4212233574902864E-12</c:v>
                </c:pt>
                <c:pt idx="107">
                  <c:v>4.4212233574902864E-12</c:v>
                </c:pt>
                <c:pt idx="108">
                  <c:v>4.4212233574902864E-12</c:v>
                </c:pt>
                <c:pt idx="109">
                  <c:v>4.4212233574902864E-12</c:v>
                </c:pt>
                <c:pt idx="110">
                  <c:v>4.4212233574902864E-12</c:v>
                </c:pt>
                <c:pt idx="111">
                  <c:v>4.4212233574902864E-12</c:v>
                </c:pt>
                <c:pt idx="112">
                  <c:v>4.4212233574902864E-12</c:v>
                </c:pt>
                <c:pt idx="113">
                  <c:v>4.4212233574902864E-12</c:v>
                </c:pt>
                <c:pt idx="114">
                  <c:v>4.4212233574902864E-12</c:v>
                </c:pt>
                <c:pt idx="115">
                  <c:v>4.4212233574902864E-12</c:v>
                </c:pt>
                <c:pt idx="116">
                  <c:v>4.4212233574902864E-12</c:v>
                </c:pt>
                <c:pt idx="117">
                  <c:v>4.4212233574902864E-12</c:v>
                </c:pt>
                <c:pt idx="118">
                  <c:v>4.4212233574902864E-12</c:v>
                </c:pt>
                <c:pt idx="119">
                  <c:v>4.4212233574902864E-12</c:v>
                </c:pt>
                <c:pt idx="120">
                  <c:v>4.4212233574902864E-12</c:v>
                </c:pt>
                <c:pt idx="121">
                  <c:v>4.4212233574902864E-12</c:v>
                </c:pt>
                <c:pt idx="122">
                  <c:v>4.4212233574902864E-12</c:v>
                </c:pt>
                <c:pt idx="123">
                  <c:v>4.4212233574902864E-12</c:v>
                </c:pt>
                <c:pt idx="124">
                  <c:v>4.4212233574902864E-12</c:v>
                </c:pt>
                <c:pt idx="125">
                  <c:v>4.4212233574902864E-12</c:v>
                </c:pt>
                <c:pt idx="126">
                  <c:v>4.4212233574902864E-12</c:v>
                </c:pt>
                <c:pt idx="127">
                  <c:v>4.4212233574902864E-12</c:v>
                </c:pt>
                <c:pt idx="128">
                  <c:v>4.4212233574902864E-12</c:v>
                </c:pt>
                <c:pt idx="129">
                  <c:v>4.4212233574902864E-12</c:v>
                </c:pt>
                <c:pt idx="130">
                  <c:v>4.4212233574902864E-12</c:v>
                </c:pt>
                <c:pt idx="131">
                  <c:v>4.4212233574902864E-12</c:v>
                </c:pt>
                <c:pt idx="132">
                  <c:v>4.4212233574902864E-12</c:v>
                </c:pt>
                <c:pt idx="133">
                  <c:v>4.4212233574902864E-12</c:v>
                </c:pt>
                <c:pt idx="134">
                  <c:v>4.4212233574902864E-12</c:v>
                </c:pt>
                <c:pt idx="135">
                  <c:v>4.4212233574902864E-12</c:v>
                </c:pt>
                <c:pt idx="136">
                  <c:v>4.4212233574902864E-12</c:v>
                </c:pt>
                <c:pt idx="137">
                  <c:v>4.4212233574902864E-12</c:v>
                </c:pt>
                <c:pt idx="138">
                  <c:v>4.4212233574902864E-12</c:v>
                </c:pt>
                <c:pt idx="139">
                  <c:v>4.4212233574902864E-12</c:v>
                </c:pt>
                <c:pt idx="140">
                  <c:v>4.4212233574902864E-12</c:v>
                </c:pt>
                <c:pt idx="141">
                  <c:v>4.4212233574902864E-12</c:v>
                </c:pt>
                <c:pt idx="142">
                  <c:v>4.4212233574902864E-12</c:v>
                </c:pt>
                <c:pt idx="143">
                  <c:v>4.4212233574902864E-12</c:v>
                </c:pt>
                <c:pt idx="144">
                  <c:v>4.4212233574902864E-12</c:v>
                </c:pt>
                <c:pt idx="145">
                  <c:v>4.4212233574902864E-12</c:v>
                </c:pt>
                <c:pt idx="146">
                  <c:v>4.4212233574902864E-12</c:v>
                </c:pt>
                <c:pt idx="147">
                  <c:v>4.4212233574902864E-12</c:v>
                </c:pt>
                <c:pt idx="148">
                  <c:v>4.4212233574902864E-12</c:v>
                </c:pt>
                <c:pt idx="149">
                  <c:v>4.4212233574902864E-12</c:v>
                </c:pt>
                <c:pt idx="150">
                  <c:v>4.4212233574902864E-12</c:v>
                </c:pt>
                <c:pt idx="151">
                  <c:v>4.4212233574902864E-12</c:v>
                </c:pt>
                <c:pt idx="152">
                  <c:v>4.4212233574902864E-12</c:v>
                </c:pt>
                <c:pt idx="153">
                  <c:v>4.4212233574902864E-12</c:v>
                </c:pt>
                <c:pt idx="154">
                  <c:v>4.4212233574902864E-12</c:v>
                </c:pt>
                <c:pt idx="155">
                  <c:v>4.4212233574902864E-12</c:v>
                </c:pt>
                <c:pt idx="156">
                  <c:v>4.4212233574902864E-12</c:v>
                </c:pt>
                <c:pt idx="157">
                  <c:v>4.4212233574902864E-12</c:v>
                </c:pt>
                <c:pt idx="158">
                  <c:v>4.4212233574902864E-12</c:v>
                </c:pt>
                <c:pt idx="159">
                  <c:v>4.4212233574902864E-12</c:v>
                </c:pt>
                <c:pt idx="160">
                  <c:v>4.4212233574902864E-12</c:v>
                </c:pt>
                <c:pt idx="161">
                  <c:v>4.4212233574902864E-12</c:v>
                </c:pt>
                <c:pt idx="162">
                  <c:v>4.4212233574902864E-12</c:v>
                </c:pt>
                <c:pt idx="163">
                  <c:v>4.4212233574902864E-12</c:v>
                </c:pt>
                <c:pt idx="164">
                  <c:v>4.4212233574902864E-12</c:v>
                </c:pt>
                <c:pt idx="165">
                  <c:v>4.4212233574902864E-12</c:v>
                </c:pt>
                <c:pt idx="166">
                  <c:v>4.4212233574902864E-12</c:v>
                </c:pt>
                <c:pt idx="167">
                  <c:v>4.4212233574902864E-12</c:v>
                </c:pt>
                <c:pt idx="168">
                  <c:v>4.4212233574902864E-12</c:v>
                </c:pt>
                <c:pt idx="169">
                  <c:v>4.4212233574902864E-12</c:v>
                </c:pt>
                <c:pt idx="170">
                  <c:v>4.4212233574902864E-12</c:v>
                </c:pt>
                <c:pt idx="171">
                  <c:v>4.4212233574902864E-12</c:v>
                </c:pt>
                <c:pt idx="172">
                  <c:v>4.4212233574902864E-12</c:v>
                </c:pt>
                <c:pt idx="173">
                  <c:v>4.4212233574902864E-12</c:v>
                </c:pt>
                <c:pt idx="174">
                  <c:v>4.4212233574902864E-12</c:v>
                </c:pt>
                <c:pt idx="175">
                  <c:v>4.4212233574902864E-12</c:v>
                </c:pt>
                <c:pt idx="176">
                  <c:v>4.4212233574902864E-12</c:v>
                </c:pt>
                <c:pt idx="177">
                  <c:v>4.4212233574902864E-12</c:v>
                </c:pt>
                <c:pt idx="178">
                  <c:v>4.4212233574902864E-12</c:v>
                </c:pt>
                <c:pt idx="179">
                  <c:v>4.4212233574902864E-12</c:v>
                </c:pt>
                <c:pt idx="180">
                  <c:v>4.4212233574902864E-12</c:v>
                </c:pt>
                <c:pt idx="181">
                  <c:v>4.4212233574902864E-12</c:v>
                </c:pt>
                <c:pt idx="182">
                  <c:v>4.4212233574902864E-12</c:v>
                </c:pt>
                <c:pt idx="183">
                  <c:v>4.4212233574902864E-12</c:v>
                </c:pt>
                <c:pt idx="184">
                  <c:v>4.4212233574902864E-12</c:v>
                </c:pt>
                <c:pt idx="185">
                  <c:v>4.4212233574902864E-12</c:v>
                </c:pt>
                <c:pt idx="186">
                  <c:v>4.4212233574902864E-12</c:v>
                </c:pt>
                <c:pt idx="187">
                  <c:v>4.4212233574902864E-12</c:v>
                </c:pt>
                <c:pt idx="188">
                  <c:v>4.4212233574902864E-12</c:v>
                </c:pt>
                <c:pt idx="189">
                  <c:v>4.4212233574902864E-12</c:v>
                </c:pt>
                <c:pt idx="190">
                  <c:v>4.4212233574902864E-12</c:v>
                </c:pt>
                <c:pt idx="191">
                  <c:v>4.4212233574902864E-12</c:v>
                </c:pt>
                <c:pt idx="192">
                  <c:v>4.4212233574902864E-12</c:v>
                </c:pt>
                <c:pt idx="193">
                  <c:v>4.4212233574902864E-12</c:v>
                </c:pt>
                <c:pt idx="194">
                  <c:v>4.4212233574902864E-12</c:v>
                </c:pt>
                <c:pt idx="195">
                  <c:v>4.4212233574902864E-12</c:v>
                </c:pt>
                <c:pt idx="196">
                  <c:v>4.4212233574902864E-12</c:v>
                </c:pt>
                <c:pt idx="197">
                  <c:v>4.4212233574902864E-12</c:v>
                </c:pt>
                <c:pt idx="198">
                  <c:v>4.4212233574902864E-12</c:v>
                </c:pt>
                <c:pt idx="199">
                  <c:v>4.4212233574902864E-12</c:v>
                </c:pt>
                <c:pt idx="200">
                  <c:v>4.4212233574902864E-12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00416992"/>
        <c:axId val="-1300414272"/>
      </c:scatterChart>
      <c:valAx>
        <c:axId val="-13004169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00414272"/>
        <c:crosses val="autoZero"/>
        <c:crossBetween val="midCat"/>
      </c:valAx>
      <c:valAx>
        <c:axId val="-1300414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004169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2.5701199751485899</c:v>
                </c:pt>
                <c:pt idx="2">
                  <c:v>3.1761950482551646</c:v>
                </c:pt>
                <c:pt idx="3">
                  <c:v>3.9257411783807914</c:v>
                </c:pt>
                <c:pt idx="4">
                  <c:v>4.8528436316164436</c:v>
                </c:pt>
                <c:pt idx="5">
                  <c:v>5.9997127748970547</c:v>
                </c:pt>
                <c:pt idx="6">
                  <c:v>7.4186269452783291</c:v>
                </c:pt>
                <c:pt idx="7">
                  <c:v>9.1743412316125035</c:v>
                </c:pt>
                <c:pt idx="8">
                  <c:v>11.347074191266621</c:v>
                </c:pt>
                <c:pt idx="9">
                  <c:v>14.036211523459508</c:v>
                </c:pt>
                <c:pt idx="10">
                  <c:v>17.364899240955943</c:v>
                </c:pt>
                <c:pt idx="11">
                  <c:v>32.173716703656488</c:v>
                </c:pt>
                <c:pt idx="12">
                  <c:v>46.787802861560664</c:v>
                </c:pt>
                <c:pt idx="13">
                  <c:v>61.278573178119878</c:v>
                </c:pt>
                <c:pt idx="14">
                  <c:v>75.679710498558791</c:v>
                </c:pt>
                <c:pt idx="15">
                  <c:v>90.010799689565431</c:v>
                </c:pt>
                <c:pt idx="16">
                  <c:v>107.84522593798255</c:v>
                </c:pt>
                <c:pt idx="17">
                  <c:v>125.60688557852342</c:v>
                </c:pt>
                <c:pt idx="18">
                  <c:v>143.30754256422119</c:v>
                </c:pt>
                <c:pt idx="19">
                  <c:v>160.95580359158967</c:v>
                </c:pt>
                <c:pt idx="20">
                  <c:v>178.55822760704453</c:v>
                </c:pt>
                <c:pt idx="21">
                  <c:v>123.12415447878497</c:v>
                </c:pt>
                <c:pt idx="22">
                  <c:v>138.35696538228595</c:v>
                </c:pt>
                <c:pt idx="23">
                  <c:v>153.54945750312899</c:v>
                </c:pt>
                <c:pt idx="24">
                  <c:v>168.70618534384241</c:v>
                </c:pt>
                <c:pt idx="25">
                  <c:v>183.83081652024464</c:v>
                </c:pt>
                <c:pt idx="26">
                  <c:v>199.27709915885649</c:v>
                </c:pt>
                <c:pt idx="27">
                  <c:v>214.69562221588228</c:v>
                </c:pt>
                <c:pt idx="28">
                  <c:v>230.08866047092724</c:v>
                </c:pt>
                <c:pt idx="29">
                  <c:v>245.45815924548194</c:v>
                </c:pt>
                <c:pt idx="30">
                  <c:v>260.80580020638394</c:v>
                </c:pt>
                <c:pt idx="31">
                  <c:v>276.13305084516719</c:v>
                </c:pt>
                <c:pt idx="32">
                  <c:v>291.44120238295483</c:v>
                </c:pt>
                <c:pt idx="33">
                  <c:v>306.7313992866795</c:v>
                </c:pt>
                <c:pt idx="34">
                  <c:v>322.00466258727732</c:v>
                </c:pt>
                <c:pt idx="35">
                  <c:v>337.26190853958752</c:v>
                </c:pt>
                <c:pt idx="36">
                  <c:v>218.19620322489709</c:v>
                </c:pt>
                <c:pt idx="37">
                  <c:v>231.48683334645435</c:v>
                </c:pt>
                <c:pt idx="38">
                  <c:v>244.76003171038471</c:v>
                </c:pt>
                <c:pt idx="39">
                  <c:v>258.01687712472409</c:v>
                </c:pt>
                <c:pt idx="40">
                  <c:v>271.25832842500023</c:v>
                </c:pt>
                <c:pt idx="41">
                  <c:v>284.48524314677451</c:v>
                </c:pt>
                <c:pt idx="42">
                  <c:v>297.69839254073707</c:v>
                </c:pt>
                <c:pt idx="43">
                  <c:v>310.89847378061245</c:v>
                </c:pt>
                <c:pt idx="44">
                  <c:v>324.0861199880448</c:v>
                </c:pt>
                <c:pt idx="45">
                  <c:v>337.26190853958735</c:v>
                </c:pt>
                <c:pt idx="46">
                  <c:v>350.42636800716019</c:v>
                </c:pt>
                <c:pt idx="47">
                  <c:v>363.5799840007133</c:v>
                </c:pt>
                <c:pt idx="48">
                  <c:v>376.72320412097571</c:v>
                </c:pt>
                <c:pt idx="49">
                  <c:v>389.85644218478711</c:v>
                </c:pt>
                <c:pt idx="50">
                  <c:v>402.98008185125178</c:v>
                </c:pt>
                <c:pt idx="51">
                  <c:v>416.09447975082259</c:v>
                </c:pt>
                <c:pt idx="52">
                  <c:v>429.19996819929173</c:v>
                </c:pt>
                <c:pt idx="53">
                  <c:v>442.2968575630004</c:v>
                </c:pt>
                <c:pt idx="54">
                  <c:v>455.38543832930395</c:v>
                </c:pt>
                <c:pt idx="55">
                  <c:v>468.46598292660588</c:v>
                </c:pt>
                <c:pt idx="56">
                  <c:v>481.19482482996779</c:v>
                </c:pt>
                <c:pt idx="57">
                  <c:v>493.91651328433619</c:v>
                </c:pt>
                <c:pt idx="58">
                  <c:v>506.63125847667106</c:v>
                </c:pt>
                <c:pt idx="59">
                  <c:v>519.33925918522516</c:v>
                </c:pt>
                <c:pt idx="60">
                  <c:v>532.04070366867973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00415904"/>
        <c:axId val="-1300416448"/>
      </c:scatterChart>
      <c:valAx>
        <c:axId val="-1300415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00416448"/>
        <c:crosses val="autoZero"/>
        <c:crossBetween val="midCat"/>
      </c:valAx>
      <c:valAx>
        <c:axId val="-130041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00415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3.0420346989866704</c:v>
                </c:pt>
                <c:pt idx="2">
                  <c:v>3.8157728974545706</c:v>
                </c:pt>
                <c:pt idx="3">
                  <c:v>4.7870700055510769</c:v>
                </c:pt>
                <c:pt idx="4">
                  <c:v>6.0065514344902446</c:v>
                </c:pt>
                <c:pt idx="5">
                  <c:v>7.5378593378781131</c:v>
                </c:pt>
                <c:pt idx="6">
                  <c:v>9.4610098992627645</c:v>
                </c:pt>
                <c:pt idx="7">
                  <c:v>11.876619016734798</c:v>
                </c:pt>
                <c:pt idx="8">
                  <c:v>14.911221593210763</c:v>
                </c:pt>
                <c:pt idx="9">
                  <c:v>18.723968185473154</c:v>
                </c:pt>
                <c:pt idx="10">
                  <c:v>23.515056561317763</c:v>
                </c:pt>
                <c:pt idx="11">
                  <c:v>29.536348743362321</c:v>
                </c:pt>
                <c:pt idx="12">
                  <c:v>37.104741402260892</c:v>
                </c:pt>
                <c:pt idx="13">
                  <c:v>46.619005336897253</c:v>
                </c:pt>
                <c:pt idx="14">
                  <c:v>58.580996237948476</c:v>
                </c:pt>
                <c:pt idx="15">
                  <c:v>73.622374059447182</c:v>
                </c:pt>
                <c:pt idx="16">
                  <c:v>86.027026900724209</c:v>
                </c:pt>
                <c:pt idx="17">
                  <c:v>98.386606823813551</c:v>
                </c:pt>
                <c:pt idx="18">
                  <c:v>110.70758759686305</c:v>
                </c:pt>
                <c:pt idx="19">
                  <c:v>122.99487803223985</c:v>
                </c:pt>
                <c:pt idx="20">
                  <c:v>135.25232276388536</c:v>
                </c:pt>
                <c:pt idx="21">
                  <c:v>148.01421375954016</c:v>
                </c:pt>
                <c:pt idx="22">
                  <c:v>160.74983504965459</c:v>
                </c:pt>
                <c:pt idx="23">
                  <c:v>173.46156278083515</c:v>
                </c:pt>
                <c:pt idx="24">
                  <c:v>186.1513958594079</c:v>
                </c:pt>
                <c:pt idx="25">
                  <c:v>198.82103804994404</c:v>
                </c:pt>
                <c:pt idx="26">
                  <c:v>156.24214880368183</c:v>
                </c:pt>
                <c:pt idx="27">
                  <c:v>169.22684490502496</c:v>
                </c:pt>
                <c:pt idx="28">
                  <c:v>182.18806689822361</c:v>
                </c:pt>
                <c:pt idx="29">
                  <c:v>195.12772108945578</c:v>
                </c:pt>
                <c:pt idx="30">
                  <c:v>208.04744001071947</c:v>
                </c:pt>
                <c:pt idx="31">
                  <c:v>220.68552368043743</c:v>
                </c:pt>
                <c:pt idx="32">
                  <c:v>233.30699569911027</c:v>
                </c:pt>
                <c:pt idx="33">
                  <c:v>245.9128817487364</c:v>
                </c:pt>
                <c:pt idx="34">
                  <c:v>258.50409369643472</c:v>
                </c:pt>
                <c:pt idx="35">
                  <c:v>271.0814472717563</c:v>
                </c:pt>
                <c:pt idx="36">
                  <c:v>229.1016182515626</c:v>
                </c:pt>
                <c:pt idx="37">
                  <c:v>240.92485492099104</c:v>
                </c:pt>
                <c:pt idx="38">
                  <c:v>252.73488898992335</c:v>
                </c:pt>
                <c:pt idx="39">
                  <c:v>264.53242465514222</c:v>
                </c:pt>
                <c:pt idx="40">
                  <c:v>276.31809813367369</c:v>
                </c:pt>
                <c:pt idx="41">
                  <c:v>287.83095256623977</c:v>
                </c:pt>
                <c:pt idx="42">
                  <c:v>299.33351098507438</c:v>
                </c:pt>
                <c:pt idx="43">
                  <c:v>310.8262249693355</c:v>
                </c:pt>
                <c:pt idx="44">
                  <c:v>322.30950996229876</c:v>
                </c:pt>
                <c:pt idx="45">
                  <c:v>333.78374937501832</c:v>
                </c:pt>
                <c:pt idx="46">
                  <c:v>287.04631762262659</c:v>
                </c:pt>
                <c:pt idx="47">
                  <c:v>297.76556965124479</c:v>
                </c:pt>
                <c:pt idx="48">
                  <c:v>308.47622271912411</c:v>
                </c:pt>
                <c:pt idx="49">
                  <c:v>319.17861763286845</c:v>
                </c:pt>
                <c:pt idx="50">
                  <c:v>329.87307046604047</c:v>
                </c:pt>
                <c:pt idx="51">
                  <c:v>339.7781670611667</c:v>
                </c:pt>
                <c:pt idx="52">
                  <c:v>349.67691259476118</c:v>
                </c:pt>
                <c:pt idx="53">
                  <c:v>359.56951229543256</c:v>
                </c:pt>
                <c:pt idx="54">
                  <c:v>369.45615917184494</c:v>
                </c:pt>
                <c:pt idx="55">
                  <c:v>379.33703505493219</c:v>
                </c:pt>
                <c:pt idx="56">
                  <c:v>331.69818048501043</c:v>
                </c:pt>
                <c:pt idx="57">
                  <c:v>341.34154369544399</c:v>
                </c:pt>
                <c:pt idx="58">
                  <c:v>350.97891730211518</c:v>
                </c:pt>
                <c:pt idx="59">
                  <c:v>360.61048905039712</c:v>
                </c:pt>
                <c:pt idx="60">
                  <c:v>370.23643583282006</c:v>
                </c:pt>
                <c:pt idx="61">
                  <c:v>379.3370350549323</c:v>
                </c:pt>
                <c:pt idx="62">
                  <c:v>388.4328841840873</c:v>
                </c:pt>
                <c:pt idx="63">
                  <c:v>397.52411019447635</c:v>
                </c:pt>
                <c:pt idx="64">
                  <c:v>406.61083377583185</c:v>
                </c:pt>
                <c:pt idx="65">
                  <c:v>415.69316978100875</c:v>
                </c:pt>
                <c:pt idx="66">
                  <c:v>367.37524535104586</c:v>
                </c:pt>
                <c:pt idx="67">
                  <c:v>376.21737131771482</c:v>
                </c:pt>
                <c:pt idx="68">
                  <c:v>385.05497224896385</c:v>
                </c:pt>
                <c:pt idx="69">
                  <c:v>393.88816670507435</c:v>
                </c:pt>
                <c:pt idx="70">
                  <c:v>402.7170674919883</c:v>
                </c:pt>
                <c:pt idx="71">
                  <c:v>410.76329650784623</c:v>
                </c:pt>
                <c:pt idx="72">
                  <c:v>418.80612334095326</c:v>
                </c:pt>
                <c:pt idx="73">
                  <c:v>426.84562257899665</c:v>
                </c:pt>
                <c:pt idx="74">
                  <c:v>434.88186576924096</c:v>
                </c:pt>
                <c:pt idx="75">
                  <c:v>442.91492159758701</c:v>
                </c:pt>
                <c:pt idx="76">
                  <c:v>396.22564203021716</c:v>
                </c:pt>
                <c:pt idx="77">
                  <c:v>404.01507966776506</c:v>
                </c:pt>
                <c:pt idx="78">
                  <c:v>411.80127018050945</c:v>
                </c:pt>
                <c:pt idx="79">
                  <c:v>419.58428366133921</c:v>
                </c:pt>
                <c:pt idx="80">
                  <c:v>427.3641873890769</c:v>
                </c:pt>
                <c:pt idx="81">
                  <c:v>434.88186576924096</c:v>
                </c:pt>
                <c:pt idx="82">
                  <c:v>442.39675481769376</c:v>
                </c:pt>
                <c:pt idx="83">
                  <c:v>449.90890862564248</c:v>
                </c:pt>
                <c:pt idx="84">
                  <c:v>457.41837932963108</c:v>
                </c:pt>
                <c:pt idx="85">
                  <c:v>464.92521721380871</c:v>
                </c:pt>
                <c:pt idx="86">
                  <c:v>420.36241288637984</c:v>
                </c:pt>
                <c:pt idx="87">
                  <c:v>427.62346471808149</c:v>
                </c:pt>
                <c:pt idx="88">
                  <c:v>434.88186576924096</c:v>
                </c:pt>
                <c:pt idx="89">
                  <c:v>442.13766655057469</c:v>
                </c:pt>
                <c:pt idx="90">
                  <c:v>449.39091577872478</c:v>
                </c:pt>
                <c:pt idx="91">
                  <c:v>456.12383221540227</c:v>
                </c:pt>
                <c:pt idx="92">
                  <c:v>462.85462553575684</c:v>
                </c:pt>
                <c:pt idx="93">
                  <c:v>469.58333098744288</c:v>
                </c:pt>
                <c:pt idx="94">
                  <c:v>476.30998272499346</c:v>
                </c:pt>
                <c:pt idx="95">
                  <c:v>483.03461385901966</c:v>
                </c:pt>
                <c:pt idx="96">
                  <c:v>441.61948025110092</c:v>
                </c:pt>
                <c:pt idx="97">
                  <c:v>448.095877722669</c:v>
                </c:pt>
                <c:pt idx="98">
                  <c:v>454.57027201710929</c:v>
                </c:pt>
                <c:pt idx="99">
                  <c:v>461.04269570891194</c:v>
                </c:pt>
                <c:pt idx="100">
                  <c:v>467.51318038276719</c:v>
                </c:pt>
                <c:pt idx="101">
                  <c:v>473.98175667722563</c:v>
                </c:pt>
                <c:pt idx="102">
                  <c:v>480.4484543258518</c:v>
                </c:pt>
                <c:pt idx="103">
                  <c:v>486.91330219604424</c:v>
                </c:pt>
                <c:pt idx="104">
                  <c:v>493.37632832568693</c:v>
                </c:pt>
                <c:pt idx="105">
                  <c:v>499.83755995777938</c:v>
                </c:pt>
                <c:pt idx="106">
                  <c:v>460.26610785970848</c:v>
                </c:pt>
                <c:pt idx="107">
                  <c:v>465.96043924488595</c:v>
                </c:pt>
                <c:pt idx="108">
                  <c:v>471.65328716509777</c:v>
                </c:pt>
                <c:pt idx="109">
                  <c:v>477.34467206434539</c:v>
                </c:pt>
                <c:pt idx="110">
                  <c:v>483.03461385901954</c:v>
                </c:pt>
                <c:pt idx="111">
                  <c:v>488.72313195770761</c:v>
                </c:pt>
                <c:pt idx="112">
                  <c:v>494.41024528003294</c:v>
                </c:pt>
                <c:pt idx="113">
                  <c:v>500.09597227458136</c:v>
                </c:pt>
                <c:pt idx="114">
                  <c:v>505.78033093596855</c:v>
                </c:pt>
                <c:pt idx="115">
                  <c:v>511.46333882110008</c:v>
                </c:pt>
                <c:pt idx="116">
                  <c:v>517.14501306467344</c:v>
                </c:pt>
                <c:pt idx="117">
                  <c:v>522.82537039395879</c:v>
                </c:pt>
                <c:pt idx="118">
                  <c:v>528.50442714290682</c:v>
                </c:pt>
                <c:pt idx="119">
                  <c:v>534.18219926561835</c:v>
                </c:pt>
                <c:pt idx="120">
                  <c:v>539.85870234920969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00424064"/>
        <c:axId val="-1300415360"/>
      </c:scatterChart>
      <c:valAx>
        <c:axId val="-13004240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00415360"/>
        <c:crosses val="autoZero"/>
        <c:crossBetween val="midCat"/>
      </c:valAx>
      <c:valAx>
        <c:axId val="-1300415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004240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2.5822836422111366</c:v>
                </c:pt>
                <c:pt idx="2">
                  <c:v>3.0918035815284672</c:v>
                </c:pt>
                <c:pt idx="3">
                  <c:v>3.7022337622707653</c:v>
                </c:pt>
                <c:pt idx="4">
                  <c:v>4.4336295362791462</c:v>
                </c:pt>
                <c:pt idx="5">
                  <c:v>5.3100452071463202</c:v>
                </c:pt>
                <c:pt idx="6">
                  <c:v>6.3603338288932347</c:v>
                </c:pt>
                <c:pt idx="7">
                  <c:v>7.6191074146970825</c:v>
                </c:pt>
                <c:pt idx="8">
                  <c:v>9.127889810760573</c:v>
                </c:pt>
                <c:pt idx="9">
                  <c:v>10.93650099145758</c:v>
                </c:pt>
                <c:pt idx="10">
                  <c:v>13.104719346021051</c:v>
                </c:pt>
                <c:pt idx="11">
                  <c:v>15.70427791998471</c:v>
                </c:pt>
                <c:pt idx="12">
                  <c:v>18.82126186594877</c:v>
                </c:pt>
                <c:pt idx="13">
                  <c:v>22.558987932416557</c:v>
                </c:pt>
                <c:pt idx="14">
                  <c:v>27.041463138816312</c:v>
                </c:pt>
                <c:pt idx="15">
                  <c:v>32.417539405558351</c:v>
                </c:pt>
                <c:pt idx="16">
                  <c:v>38.865904499125939</c:v>
                </c:pt>
                <c:pt idx="17">
                  <c:v>46.601078018602493</c:v>
                </c:pt>
                <c:pt idx="18">
                  <c:v>55.880615259949991</c:v>
                </c:pt>
                <c:pt idx="19">
                  <c:v>67.013762812651535</c:v>
                </c:pt>
                <c:pt idx="20">
                  <c:v>80.371859071508723</c:v>
                </c:pt>
                <c:pt idx="21">
                  <c:v>90.780755313309626</c:v>
                </c:pt>
                <c:pt idx="22">
                  <c:v>101.159756563508</c:v>
                </c:pt>
                <c:pt idx="23">
                  <c:v>111.5123681968909</c:v>
                </c:pt>
                <c:pt idx="24">
                  <c:v>121.84138944928242</c:v>
                </c:pt>
                <c:pt idx="25">
                  <c:v>132.14910489975807</c:v>
                </c:pt>
                <c:pt idx="26">
                  <c:v>130.30991517841125</c:v>
                </c:pt>
                <c:pt idx="27">
                  <c:v>143.17159315460219</c:v>
                </c:pt>
                <c:pt idx="28">
                  <c:v>156.00559553023251</c:v>
                </c:pt>
                <c:pt idx="29">
                  <c:v>168.81452176155747</c:v>
                </c:pt>
                <c:pt idx="30">
                  <c:v>181.60054396431892</c:v>
                </c:pt>
                <c:pt idx="31">
                  <c:v>196.18744401776075</c:v>
                </c:pt>
                <c:pt idx="32">
                  <c:v>210.74915945166413</c:v>
                </c:pt>
                <c:pt idx="33">
                  <c:v>225.28767604319728</c:v>
                </c:pt>
                <c:pt idx="34">
                  <c:v>239.8047021341722</c:v>
                </c:pt>
                <c:pt idx="35">
                  <c:v>254.30172220416441</c:v>
                </c:pt>
                <c:pt idx="36">
                  <c:v>193.27214793812973</c:v>
                </c:pt>
                <c:pt idx="37">
                  <c:v>208.5664261543092</c:v>
                </c:pt>
                <c:pt idx="38">
                  <c:v>223.83481773691517</c:v>
                </c:pt>
                <c:pt idx="39">
                  <c:v>239.07933751109388</c:v>
                </c:pt>
                <c:pt idx="40">
                  <c:v>254.30172220416443</c:v>
                </c:pt>
                <c:pt idx="41">
                  <c:v>269.50348353777451</c:v>
                </c:pt>
                <c:pt idx="42">
                  <c:v>284.68594869794055</c:v>
                </c:pt>
                <c:pt idx="43">
                  <c:v>299.85029171072807</c:v>
                </c:pt>
                <c:pt idx="44">
                  <c:v>314.99755813323162</c:v>
                </c:pt>
                <c:pt idx="45">
                  <c:v>330.12868474355969</c:v>
                </c:pt>
                <c:pt idx="46">
                  <c:v>269.14176602787654</c:v>
                </c:pt>
                <c:pt idx="47">
                  <c:v>283.96339386484851</c:v>
                </c:pt>
                <c:pt idx="48">
                  <c:v>298.7677023889039</c:v>
                </c:pt>
                <c:pt idx="49">
                  <c:v>313.55567069110168</c:v>
                </c:pt>
                <c:pt idx="50">
                  <c:v>328.32817795481515</c:v>
                </c:pt>
                <c:pt idx="51">
                  <c:v>342.7262392021392</c:v>
                </c:pt>
                <c:pt idx="52">
                  <c:v>357.11100913841528</c:v>
                </c:pt>
                <c:pt idx="53">
                  <c:v>371.4830985440197</c:v>
                </c:pt>
                <c:pt idx="54">
                  <c:v>385.8430670819634</c:v>
                </c:pt>
                <c:pt idx="55">
                  <c:v>400.19142935914965</c:v>
                </c:pt>
                <c:pt idx="56">
                  <c:v>338.40824566131732</c:v>
                </c:pt>
                <c:pt idx="57">
                  <c:v>352.07781219018153</c:v>
                </c:pt>
                <c:pt idx="58">
                  <c:v>365.73574755728538</c:v>
                </c:pt>
                <c:pt idx="59">
                  <c:v>379.3825473151046</c:v>
                </c:pt>
                <c:pt idx="60">
                  <c:v>393.01866845402537</c:v>
                </c:pt>
                <c:pt idx="61">
                  <c:v>405.92763208567663</c:v>
                </c:pt>
                <c:pt idx="62">
                  <c:v>418.82772515146894</c:v>
                </c:pt>
                <c:pt idx="63">
                  <c:v>431.71925936589815</c:v>
                </c:pt>
                <c:pt idx="64">
                  <c:v>444.60252630877886</c:v>
                </c:pt>
                <c:pt idx="65">
                  <c:v>457.47779928386598</c:v>
                </c:pt>
                <c:pt idx="66">
                  <c:v>394.45344597932916</c:v>
                </c:pt>
                <c:pt idx="67">
                  <c:v>406.64453366510514</c:v>
                </c:pt>
                <c:pt idx="68">
                  <c:v>418.82772515146894</c:v>
                </c:pt>
                <c:pt idx="69">
                  <c:v>431.00328251520637</c:v>
                </c:pt>
                <c:pt idx="70">
                  <c:v>443.17145181723458</c:v>
                </c:pt>
                <c:pt idx="71">
                  <c:v>454.25971616804895</c:v>
                </c:pt>
                <c:pt idx="72">
                  <c:v>465.34219697734244</c:v>
                </c:pt>
                <c:pt idx="73">
                  <c:v>476.41905141139301</c:v>
                </c:pt>
                <c:pt idx="74">
                  <c:v>487.49042873157447</c:v>
                </c:pt>
                <c:pt idx="75">
                  <c:v>498.55647086626522</c:v>
                </c:pt>
                <c:pt idx="76">
                  <c:v>434.22497775587226</c:v>
                </c:pt>
                <c:pt idx="77">
                  <c:v>444.96027949966765</c:v>
                </c:pt>
                <c:pt idx="78">
                  <c:v>455.69003527221344</c:v>
                </c:pt>
                <c:pt idx="79">
                  <c:v>466.41439408694367</c:v>
                </c:pt>
                <c:pt idx="80">
                  <c:v>477.13349754486757</c:v>
                </c:pt>
                <c:pt idx="81">
                  <c:v>487.49042873157447</c:v>
                </c:pt>
                <c:pt idx="82">
                  <c:v>497.84269099902531</c:v>
                </c:pt>
                <c:pt idx="83">
                  <c:v>508.19039512861644</c:v>
                </c:pt>
                <c:pt idx="84">
                  <c:v>518.53364702206579</c:v>
                </c:pt>
                <c:pt idx="85">
                  <c:v>528.87254801147856</c:v>
                </c:pt>
                <c:pt idx="86">
                  <c:v>463.19764456024473</c:v>
                </c:pt>
                <c:pt idx="87">
                  <c:v>472.48918916409252</c:v>
                </c:pt>
                <c:pt idx="88">
                  <c:v>481.77684446495124</c:v>
                </c:pt>
                <c:pt idx="89">
                  <c:v>491.06069603012844</c:v>
                </c:pt>
                <c:pt idx="90">
                  <c:v>500.34082592690078</c:v>
                </c:pt>
                <c:pt idx="91">
                  <c:v>509.61731292933626</c:v>
                </c:pt>
                <c:pt idx="92">
                  <c:v>518.89023270927692</c:v>
                </c:pt>
                <c:pt idx="93">
                  <c:v>528.15965801295647</c:v>
                </c:pt>
                <c:pt idx="94">
                  <c:v>537.42565882457359</c:v>
                </c:pt>
                <c:pt idx="95">
                  <c:v>546.6883025179983</c:v>
                </c:pt>
                <c:pt idx="96">
                  <c:v>480.16964020909967</c:v>
                </c:pt>
                <c:pt idx="97">
                  <c:v>488.56156699732747</c:v>
                </c:pt>
                <c:pt idx="98">
                  <c:v>496.95043567656421</c:v>
                </c:pt>
                <c:pt idx="99">
                  <c:v>505.33630516496095</c:v>
                </c:pt>
                <c:pt idx="100">
                  <c:v>513.71923226517583</c:v>
                </c:pt>
                <c:pt idx="101">
                  <c:v>522.0992717743585</c:v>
                </c:pt>
                <c:pt idx="102">
                  <c:v>530.47647658670951</c:v>
                </c:pt>
                <c:pt idx="103">
                  <c:v>538.85089778922145</c:v>
                </c:pt>
                <c:pt idx="104">
                  <c:v>547.22258475115893</c:v>
                </c:pt>
                <c:pt idx="105">
                  <c:v>555.59158520777828</c:v>
                </c:pt>
                <c:pt idx="106">
                  <c:v>489.6326554281618</c:v>
                </c:pt>
                <c:pt idx="107">
                  <c:v>496.77198054139399</c:v>
                </c:pt>
                <c:pt idx="108">
                  <c:v>503.9091324552781</c:v>
                </c:pt>
                <c:pt idx="109">
                  <c:v>511.04414630438441</c:v>
                </c:pt>
                <c:pt idx="110">
                  <c:v>518.17705616178932</c:v>
                </c:pt>
                <c:pt idx="111">
                  <c:v>525.30789508563589</c:v>
                </c:pt>
                <c:pt idx="112">
                  <c:v>532.4366951630326</c:v>
                </c:pt>
                <c:pt idx="113">
                  <c:v>539.56348755148122</c:v>
                </c:pt>
                <c:pt idx="114">
                  <c:v>546.6883025179983</c:v>
                </c:pt>
                <c:pt idx="115">
                  <c:v>553.811169476092</c:v>
                </c:pt>
                <c:pt idx="116">
                  <c:v>493.91651328433591</c:v>
                </c:pt>
                <c:pt idx="117">
                  <c:v>499.98396570940207</c:v>
                </c:pt>
                <c:pt idx="118">
                  <c:v>506.04985953638516</c:v>
                </c:pt>
                <c:pt idx="119">
                  <c:v>512.11421609335571</c:v>
                </c:pt>
                <c:pt idx="120">
                  <c:v>518.1770561617891</c:v>
                </c:pt>
                <c:pt idx="121">
                  <c:v>524.23839999694576</c:v>
                </c:pt>
                <c:pt idx="122">
                  <c:v>530.29826734726021</c:v>
                </c:pt>
                <c:pt idx="123">
                  <c:v>536.35667747279706</c:v>
                </c:pt>
                <c:pt idx="124">
                  <c:v>542.41364916282942</c:v>
                </c:pt>
                <c:pt idx="125">
                  <c:v>548.46920075259197</c:v>
                </c:pt>
                <c:pt idx="126">
                  <c:v>494.98735439698572</c:v>
                </c:pt>
                <c:pt idx="127">
                  <c:v>500.34082592689998</c:v>
                </c:pt>
                <c:pt idx="128">
                  <c:v>505.69308501237475</c:v>
                </c:pt>
                <c:pt idx="129">
                  <c:v>511.04414630438401</c:v>
                </c:pt>
                <c:pt idx="130">
                  <c:v>516.39402412186928</c:v>
                </c:pt>
                <c:pt idx="131">
                  <c:v>521.74273246270116</c:v>
                </c:pt>
                <c:pt idx="132">
                  <c:v>527.09028501417129</c:v>
                </c:pt>
                <c:pt idx="133">
                  <c:v>532.43669516303225</c:v>
                </c:pt>
                <c:pt idx="134">
                  <c:v>537.78197600511669</c:v>
                </c:pt>
                <c:pt idx="135">
                  <c:v>543.12614035455169</c:v>
                </c:pt>
                <c:pt idx="136">
                  <c:v>495.82019686852345</c:v>
                </c:pt>
                <c:pt idx="137">
                  <c:v>500.22187312000779</c:v>
                </c:pt>
                <c:pt idx="138">
                  <c:v>504.62272948273556</c:v>
                </c:pt>
                <c:pt idx="139">
                  <c:v>509.02277412127455</c:v>
                </c:pt>
                <c:pt idx="140">
                  <c:v>513.42201504742263</c:v>
                </c:pt>
                <c:pt idx="141">
                  <c:v>517.82046012438047</c:v>
                </c:pt>
                <c:pt idx="142">
                  <c:v>522.21811707077359</c:v>
                </c:pt>
                <c:pt idx="143">
                  <c:v>526.61499346453422</c:v>
                </c:pt>
                <c:pt idx="144">
                  <c:v>531.01109674664394</c:v>
                </c:pt>
                <c:pt idx="145">
                  <c:v>535.40643422474875</c:v>
                </c:pt>
                <c:pt idx="146">
                  <c:v>539.80101307664643</c:v>
                </c:pt>
                <c:pt idx="147">
                  <c:v>544.19484035365667</c:v>
                </c:pt>
                <c:pt idx="148">
                  <c:v>548.58792298387516</c:v>
                </c:pt>
                <c:pt idx="149">
                  <c:v>552.98026777531891</c:v>
                </c:pt>
                <c:pt idx="150">
                  <c:v>557.3718814189657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00422976"/>
        <c:axId val="-1300419712"/>
      </c:scatterChart>
      <c:valAx>
        <c:axId val="-13004229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00419712"/>
        <c:crosses val="autoZero"/>
        <c:crossBetween val="midCat"/>
      </c:valAx>
      <c:valAx>
        <c:axId val="-130041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004229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2.5758310508760247</c:v>
                </c:pt>
                <c:pt idx="2">
                  <c:v>3.2506177981838085</c:v>
                </c:pt>
                <c:pt idx="3">
                  <c:v>4.1028694549974993</c:v>
                </c:pt>
                <c:pt idx="4">
                  <c:v>5.1794297849161515</c:v>
                </c:pt>
                <c:pt idx="5">
                  <c:v>6.5395498248636885</c:v>
                </c:pt>
                <c:pt idx="6">
                  <c:v>8.2581845593100685</c:v>
                </c:pt>
                <c:pt idx="7">
                  <c:v>10.430168092530124</c:v>
                </c:pt>
                <c:pt idx="8">
                  <c:v>13.175502045684366</c:v>
                </c:pt>
                <c:pt idx="9">
                  <c:v>16.646054774598436</c:v>
                </c:pt>
                <c:pt idx="10">
                  <c:v>21.03404874902699</c:v>
                </c:pt>
                <c:pt idx="11">
                  <c:v>26.582814593823006</c:v>
                </c:pt>
                <c:pt idx="12">
                  <c:v>33.600418628656548</c:v>
                </c:pt>
                <c:pt idx="13">
                  <c:v>42.47693357058472</c:v>
                </c:pt>
                <c:pt idx="14">
                  <c:v>53.706328669924602</c:v>
                </c:pt>
                <c:pt idx="15">
                  <c:v>67.91421772633808</c:v>
                </c:pt>
                <c:pt idx="16">
                  <c:v>88.220699423350183</c:v>
                </c:pt>
                <c:pt idx="17">
                  <c:v>108.40917771920219</c:v>
                </c:pt>
                <c:pt idx="18">
                  <c:v>128.50485533746698</c:v>
                </c:pt>
                <c:pt idx="19">
                  <c:v>148.52433471994019</c:v>
                </c:pt>
                <c:pt idx="20">
                  <c:v>168.47935065397499</c:v>
                </c:pt>
                <c:pt idx="21">
                  <c:v>190.03172868618256</c:v>
                </c:pt>
                <c:pt idx="22">
                  <c:v>211.52713705007417</c:v>
                </c:pt>
                <c:pt idx="23">
                  <c:v>232.9721805650637</c:v>
                </c:pt>
                <c:pt idx="24">
                  <c:v>254.37214715747857</c:v>
                </c:pt>
                <c:pt idx="25">
                  <c:v>275.73136161299823</c:v>
                </c:pt>
                <c:pt idx="26">
                  <c:v>174.34768002587268</c:v>
                </c:pt>
                <c:pt idx="27">
                  <c:v>195.02347174102519</c:v>
                </c:pt>
                <c:pt idx="28">
                  <c:v>215.64831336819194</c:v>
                </c:pt>
                <c:pt idx="29">
                  <c:v>236.22776394593248</c:v>
                </c:pt>
                <c:pt idx="30">
                  <c:v>256.76633375126522</c:v>
                </c:pt>
                <c:pt idx="31">
                  <c:v>275.18504315357131</c:v>
                </c:pt>
                <c:pt idx="32">
                  <c:v>293.57606699971933</c:v>
                </c:pt>
                <c:pt idx="33">
                  <c:v>311.94138327089985</c:v>
                </c:pt>
                <c:pt idx="34">
                  <c:v>330.28271802062613</c:v>
                </c:pt>
                <c:pt idx="35">
                  <c:v>348.6015899634229</c:v>
                </c:pt>
                <c:pt idx="36">
                  <c:v>269.31056889395103</c:v>
                </c:pt>
                <c:pt idx="37">
                  <c:v>285.42451785769123</c:v>
                </c:pt>
                <c:pt idx="38">
                  <c:v>301.51811086883743</c:v>
                </c:pt>
                <c:pt idx="39">
                  <c:v>317.5925873061596</c:v>
                </c:pt>
                <c:pt idx="40">
                  <c:v>333.64905083742542</c:v>
                </c:pt>
                <c:pt idx="41">
                  <c:v>347.58255340684292</c:v>
                </c:pt>
                <c:pt idx="42">
                  <c:v>361.50379946938739</c:v>
                </c:pt>
                <c:pt idx="43">
                  <c:v>375.41332750586389</c:v>
                </c:pt>
                <c:pt idx="44">
                  <c:v>389.3116328366134</c:v>
                </c:pt>
                <c:pt idx="45">
                  <c:v>403.19917253064006</c:v>
                </c:pt>
                <c:pt idx="46">
                  <c:v>330.79281691079126</c:v>
                </c:pt>
                <c:pt idx="47">
                  <c:v>342.8941369053889</c:v>
                </c:pt>
                <c:pt idx="48">
                  <c:v>354.98607240615996</c:v>
                </c:pt>
                <c:pt idx="49">
                  <c:v>367.06898819880888</c:v>
                </c:pt>
                <c:pt idx="50">
                  <c:v>379.14322308804429</c:v>
                </c:pt>
                <c:pt idx="51">
                  <c:v>389.51494167414722</c:v>
                </c:pt>
                <c:pt idx="52">
                  <c:v>399.88066780263989</c:v>
                </c:pt>
                <c:pt idx="53">
                  <c:v>410.24057875944817</c:v>
                </c:pt>
                <c:pt idx="54">
                  <c:v>420.59484214308355</c:v>
                </c:pt>
                <c:pt idx="55">
                  <c:v>430.94361662456686</c:v>
                </c:pt>
                <c:pt idx="56">
                  <c:v>389.07443627953484</c:v>
                </c:pt>
                <c:pt idx="57">
                  <c:v>397.81476714553764</c:v>
                </c:pt>
                <c:pt idx="58">
                  <c:v>406.55093973271431</c:v>
                </c:pt>
                <c:pt idx="59">
                  <c:v>415.2830560426782</c:v>
                </c:pt>
                <c:pt idx="60">
                  <c:v>424.01121343540922</c:v>
                </c:pt>
                <c:pt idx="61">
                  <c:v>431.34934118150051</c:v>
                </c:pt>
                <c:pt idx="62">
                  <c:v>438.68478728412373</c:v>
                </c:pt>
                <c:pt idx="63">
                  <c:v>446.01760293571652</c:v>
                </c:pt>
                <c:pt idx="64">
                  <c:v>453.34783750715309</c:v>
                </c:pt>
                <c:pt idx="65">
                  <c:v>460.67553864161124</c:v>
                </c:pt>
                <c:pt idx="66">
                  <c:v>428.67817006579958</c:v>
                </c:pt>
                <c:pt idx="67">
                  <c:v>435.03429813246208</c:v>
                </c:pt>
                <c:pt idx="68">
                  <c:v>441.38843291985592</c:v>
                </c:pt>
                <c:pt idx="69">
                  <c:v>447.74060719134218</c:v>
                </c:pt>
                <c:pt idx="70">
                  <c:v>454.09085270415375</c:v>
                </c:pt>
                <c:pt idx="71">
                  <c:v>459.83146107700281</c:v>
                </c:pt>
                <c:pt idx="72">
                  <c:v>465.57053966135101</c:v>
                </c:pt>
                <c:pt idx="73">
                  <c:v>471.30810998876814</c:v>
                </c:pt>
                <c:pt idx="74">
                  <c:v>477.04419302345286</c:v>
                </c:pt>
                <c:pt idx="75">
                  <c:v>482.77880918397722</c:v>
                </c:pt>
                <c:pt idx="76">
                  <c:v>487.80384101860591</c:v>
                </c:pt>
                <c:pt idx="77">
                  <c:v>492.82777436376904</c:v>
                </c:pt>
                <c:pt idx="78">
                  <c:v>497.85062200546753</c:v>
                </c:pt>
                <c:pt idx="79">
                  <c:v>502.87239645047742</c:v>
                </c:pt>
                <c:pt idx="80">
                  <c:v>507.89310993523713</c:v>
                </c:pt>
                <c:pt idx="81">
                  <c:v>6.7935256943361388E-12</c:v>
                </c:pt>
                <c:pt idx="82">
                  <c:v>6.7935256943361388E-12</c:v>
                </c:pt>
                <c:pt idx="83">
                  <c:v>6.7935256943361388E-12</c:v>
                </c:pt>
                <c:pt idx="84">
                  <c:v>6.7935256943361388E-12</c:v>
                </c:pt>
                <c:pt idx="85">
                  <c:v>6.7935256943361388E-12</c:v>
                </c:pt>
                <c:pt idx="86">
                  <c:v>6.7935256943361388E-12</c:v>
                </c:pt>
                <c:pt idx="87">
                  <c:v>6.7935256943361388E-12</c:v>
                </c:pt>
                <c:pt idx="88">
                  <c:v>6.7935256943361388E-12</c:v>
                </c:pt>
                <c:pt idx="89">
                  <c:v>6.7935256943361388E-12</c:v>
                </c:pt>
                <c:pt idx="90">
                  <c:v>6.7935256943361388E-12</c:v>
                </c:pt>
                <c:pt idx="91">
                  <c:v>6.7935256943361388E-12</c:v>
                </c:pt>
                <c:pt idx="92">
                  <c:v>6.7935256943361388E-12</c:v>
                </c:pt>
                <c:pt idx="93">
                  <c:v>6.7935256943361388E-12</c:v>
                </c:pt>
                <c:pt idx="94">
                  <c:v>6.7935256943361388E-12</c:v>
                </c:pt>
                <c:pt idx="95">
                  <c:v>6.7935256943361388E-12</c:v>
                </c:pt>
                <c:pt idx="96">
                  <c:v>6.7935256943361388E-12</c:v>
                </c:pt>
                <c:pt idx="97">
                  <c:v>6.7935256943361388E-12</c:v>
                </c:pt>
                <c:pt idx="98">
                  <c:v>6.7935256943361388E-12</c:v>
                </c:pt>
                <c:pt idx="99">
                  <c:v>6.7935256943361388E-12</c:v>
                </c:pt>
                <c:pt idx="100">
                  <c:v>6.7935256943361388E-12</c:v>
                </c:pt>
                <c:pt idx="101">
                  <c:v>6.7935256943361388E-12</c:v>
                </c:pt>
                <c:pt idx="102">
                  <c:v>6.7935256943361388E-12</c:v>
                </c:pt>
                <c:pt idx="103">
                  <c:v>6.7935256943361388E-12</c:v>
                </c:pt>
                <c:pt idx="104">
                  <c:v>6.7935256943361388E-12</c:v>
                </c:pt>
                <c:pt idx="105">
                  <c:v>6.7935256943361388E-12</c:v>
                </c:pt>
                <c:pt idx="106">
                  <c:v>6.7935256943361388E-12</c:v>
                </c:pt>
                <c:pt idx="107">
                  <c:v>6.7935256943361388E-12</c:v>
                </c:pt>
                <c:pt idx="108">
                  <c:v>6.7935256943361388E-12</c:v>
                </c:pt>
                <c:pt idx="109">
                  <c:v>6.7935256943361388E-12</c:v>
                </c:pt>
                <c:pt idx="110">
                  <c:v>6.7935256943361388E-12</c:v>
                </c:pt>
                <c:pt idx="111">
                  <c:v>6.7935256943361388E-12</c:v>
                </c:pt>
                <c:pt idx="112">
                  <c:v>6.7935256943361388E-12</c:v>
                </c:pt>
                <c:pt idx="113">
                  <c:v>6.7935256943361388E-12</c:v>
                </c:pt>
                <c:pt idx="114">
                  <c:v>6.7935256943361388E-12</c:v>
                </c:pt>
                <c:pt idx="115">
                  <c:v>6.7935256943361388E-12</c:v>
                </c:pt>
                <c:pt idx="116">
                  <c:v>6.7935256943361388E-12</c:v>
                </c:pt>
                <c:pt idx="117">
                  <c:v>6.7935256943361388E-12</c:v>
                </c:pt>
                <c:pt idx="118">
                  <c:v>6.7935256943361388E-12</c:v>
                </c:pt>
                <c:pt idx="119">
                  <c:v>6.7935256943361388E-12</c:v>
                </c:pt>
                <c:pt idx="120">
                  <c:v>6.7935256943361388E-12</c:v>
                </c:pt>
                <c:pt idx="121">
                  <c:v>6.7935256943361388E-12</c:v>
                </c:pt>
                <c:pt idx="122">
                  <c:v>6.7935256943361388E-12</c:v>
                </c:pt>
                <c:pt idx="123">
                  <c:v>6.7935256943361388E-12</c:v>
                </c:pt>
                <c:pt idx="124">
                  <c:v>6.7935256943361388E-12</c:v>
                </c:pt>
                <c:pt idx="125">
                  <c:v>6.7935256943361388E-12</c:v>
                </c:pt>
                <c:pt idx="126">
                  <c:v>6.7935256943361388E-12</c:v>
                </c:pt>
                <c:pt idx="127">
                  <c:v>6.7935256943361388E-12</c:v>
                </c:pt>
                <c:pt idx="128">
                  <c:v>6.7935256943361388E-12</c:v>
                </c:pt>
                <c:pt idx="129">
                  <c:v>6.7935256943361388E-12</c:v>
                </c:pt>
                <c:pt idx="130">
                  <c:v>6.7935256943361388E-12</c:v>
                </c:pt>
                <c:pt idx="131">
                  <c:v>6.7935256943361388E-12</c:v>
                </c:pt>
                <c:pt idx="132">
                  <c:v>6.7935256943361388E-12</c:v>
                </c:pt>
                <c:pt idx="133">
                  <c:v>6.7935256943361388E-12</c:v>
                </c:pt>
                <c:pt idx="134">
                  <c:v>6.7935256943361388E-12</c:v>
                </c:pt>
                <c:pt idx="135">
                  <c:v>6.7935256943361388E-12</c:v>
                </c:pt>
                <c:pt idx="136">
                  <c:v>6.7935256943361388E-12</c:v>
                </c:pt>
                <c:pt idx="137">
                  <c:v>6.7935256943361388E-12</c:v>
                </c:pt>
                <c:pt idx="138">
                  <c:v>6.7935256943361388E-12</c:v>
                </c:pt>
                <c:pt idx="139">
                  <c:v>6.7935256943361388E-12</c:v>
                </c:pt>
                <c:pt idx="140">
                  <c:v>6.7935256943361388E-12</c:v>
                </c:pt>
                <c:pt idx="141">
                  <c:v>6.7935256943361388E-12</c:v>
                </c:pt>
                <c:pt idx="142">
                  <c:v>6.7935256943361388E-12</c:v>
                </c:pt>
                <c:pt idx="143">
                  <c:v>6.7935256943361388E-12</c:v>
                </c:pt>
                <c:pt idx="144">
                  <c:v>6.7935256943361388E-12</c:v>
                </c:pt>
                <c:pt idx="145">
                  <c:v>6.7935256943361388E-12</c:v>
                </c:pt>
                <c:pt idx="146">
                  <c:v>6.7935256943361388E-12</c:v>
                </c:pt>
                <c:pt idx="147">
                  <c:v>6.7935256943361388E-12</c:v>
                </c:pt>
                <c:pt idx="148">
                  <c:v>6.7935256943361388E-12</c:v>
                </c:pt>
                <c:pt idx="149">
                  <c:v>6.7935256943361388E-12</c:v>
                </c:pt>
                <c:pt idx="150">
                  <c:v>6.7935256943361388E-12</c:v>
                </c:pt>
                <c:pt idx="151">
                  <c:v>6.7935256943361388E-12</c:v>
                </c:pt>
                <c:pt idx="152">
                  <c:v>6.7935256943361388E-12</c:v>
                </c:pt>
                <c:pt idx="153">
                  <c:v>6.7935256943361388E-12</c:v>
                </c:pt>
                <c:pt idx="154">
                  <c:v>6.7935256943361388E-12</c:v>
                </c:pt>
                <c:pt idx="155">
                  <c:v>6.7935256943361388E-12</c:v>
                </c:pt>
                <c:pt idx="156">
                  <c:v>6.7935256943361388E-12</c:v>
                </c:pt>
                <c:pt idx="157">
                  <c:v>6.7935256943361388E-12</c:v>
                </c:pt>
                <c:pt idx="158">
                  <c:v>6.7935256943361388E-12</c:v>
                </c:pt>
                <c:pt idx="159">
                  <c:v>6.7935256943361388E-12</c:v>
                </c:pt>
                <c:pt idx="160">
                  <c:v>6.7935256943361388E-12</c:v>
                </c:pt>
                <c:pt idx="161">
                  <c:v>6.7935256943361388E-12</c:v>
                </c:pt>
                <c:pt idx="162">
                  <c:v>6.7935256943361388E-12</c:v>
                </c:pt>
                <c:pt idx="163">
                  <c:v>6.7935256943361388E-12</c:v>
                </c:pt>
                <c:pt idx="164">
                  <c:v>6.7935256943361388E-12</c:v>
                </c:pt>
                <c:pt idx="165">
                  <c:v>6.7935256943361388E-12</c:v>
                </c:pt>
                <c:pt idx="166">
                  <c:v>6.7935256943361388E-12</c:v>
                </c:pt>
                <c:pt idx="167">
                  <c:v>6.7935256943361388E-12</c:v>
                </c:pt>
                <c:pt idx="168">
                  <c:v>6.7935256943361388E-12</c:v>
                </c:pt>
                <c:pt idx="169">
                  <c:v>6.7935256943361388E-12</c:v>
                </c:pt>
                <c:pt idx="170">
                  <c:v>6.7935256943361388E-12</c:v>
                </c:pt>
                <c:pt idx="171">
                  <c:v>6.7935256943361388E-12</c:v>
                </c:pt>
                <c:pt idx="172">
                  <c:v>6.7935256943361388E-12</c:v>
                </c:pt>
                <c:pt idx="173">
                  <c:v>6.7935256943361388E-12</c:v>
                </c:pt>
                <c:pt idx="174">
                  <c:v>6.7935256943361388E-12</c:v>
                </c:pt>
                <c:pt idx="175">
                  <c:v>6.7935256943361388E-12</c:v>
                </c:pt>
                <c:pt idx="176">
                  <c:v>6.7935256943361388E-12</c:v>
                </c:pt>
                <c:pt idx="177">
                  <c:v>6.7935256943361388E-12</c:v>
                </c:pt>
                <c:pt idx="178">
                  <c:v>6.7935256943361388E-12</c:v>
                </c:pt>
                <c:pt idx="179">
                  <c:v>6.7935256943361388E-12</c:v>
                </c:pt>
                <c:pt idx="180">
                  <c:v>6.7935256943361388E-12</c:v>
                </c:pt>
                <c:pt idx="181">
                  <c:v>6.7935256943361388E-12</c:v>
                </c:pt>
                <c:pt idx="182">
                  <c:v>6.7935256943361388E-12</c:v>
                </c:pt>
                <c:pt idx="183">
                  <c:v>6.7935256943361388E-12</c:v>
                </c:pt>
                <c:pt idx="184">
                  <c:v>6.7935256943361388E-12</c:v>
                </c:pt>
                <c:pt idx="185">
                  <c:v>6.7935256943361388E-12</c:v>
                </c:pt>
                <c:pt idx="186">
                  <c:v>6.7935256943361388E-12</c:v>
                </c:pt>
                <c:pt idx="187">
                  <c:v>6.7935256943361388E-12</c:v>
                </c:pt>
                <c:pt idx="188">
                  <c:v>6.7935256943361388E-12</c:v>
                </c:pt>
                <c:pt idx="189">
                  <c:v>6.7935256943361388E-12</c:v>
                </c:pt>
                <c:pt idx="190">
                  <c:v>6.7935256943361388E-12</c:v>
                </c:pt>
                <c:pt idx="191">
                  <c:v>6.7935256943361388E-12</c:v>
                </c:pt>
                <c:pt idx="192">
                  <c:v>6.7935256943361388E-12</c:v>
                </c:pt>
                <c:pt idx="193">
                  <c:v>6.7935256943361388E-12</c:v>
                </c:pt>
                <c:pt idx="194">
                  <c:v>6.7935256943361388E-12</c:v>
                </c:pt>
                <c:pt idx="195">
                  <c:v>6.7935256943361388E-12</c:v>
                </c:pt>
                <c:pt idx="196">
                  <c:v>6.7935256943361388E-12</c:v>
                </c:pt>
                <c:pt idx="197">
                  <c:v>6.7935256943361388E-12</c:v>
                </c:pt>
                <c:pt idx="198">
                  <c:v>6.7935256943361388E-12</c:v>
                </c:pt>
                <c:pt idx="199">
                  <c:v>6.7935256943361388E-12</c:v>
                </c:pt>
                <c:pt idx="200">
                  <c:v>6.7935256943361388E-12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00425152"/>
        <c:axId val="-1300425696"/>
      </c:scatterChart>
      <c:valAx>
        <c:axId val="-13004251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00425696"/>
        <c:crosses val="autoZero"/>
        <c:crossBetween val="midCat"/>
      </c:valAx>
      <c:valAx>
        <c:axId val="-1300425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004251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2.3489971199630455</c:v>
                </c:pt>
                <c:pt idx="2">
                  <c:v>2.7030195086302471</c:v>
                </c:pt>
                <c:pt idx="3">
                  <c:v>3.1105901397954212</c:v>
                </c:pt>
                <c:pt idx="4">
                  <c:v>3.5798361204955143</c:v>
                </c:pt>
                <c:pt idx="5">
                  <c:v>4.1201219539347553</c:v>
                </c:pt>
                <c:pt idx="6">
                  <c:v>4.7422384982995958</c:v>
                </c:pt>
                <c:pt idx="7">
                  <c:v>5.4586208599678123</c:v>
                </c:pt>
                <c:pt idx="8">
                  <c:v>6.283599662870814</c:v>
                </c:pt>
                <c:pt idx="9">
                  <c:v>7.2336908192014988</c:v>
                </c:pt>
                <c:pt idx="10">
                  <c:v>8.327929715470864</c:v>
                </c:pt>
                <c:pt idx="11">
                  <c:v>9.5882566383841734</c:v>
                </c:pt>
                <c:pt idx="12">
                  <c:v>11.039961315929778</c:v>
                </c:pt>
                <c:pt idx="13">
                  <c:v>12.71219566215864</c:v>
                </c:pt>
                <c:pt idx="14">
                  <c:v>14.638565214448152</c:v>
                </c:pt>
                <c:pt idx="15">
                  <c:v>16.857811368540641</c:v>
                </c:pt>
                <c:pt idx="16">
                  <c:v>34.201573744884413</c:v>
                </c:pt>
                <c:pt idx="17">
                  <c:v>51.29324055563827</c:v>
                </c:pt>
                <c:pt idx="18">
                  <c:v>68.232044534382865</c:v>
                </c:pt>
                <c:pt idx="19">
                  <c:v>85.061887920963684</c:v>
                </c:pt>
                <c:pt idx="20">
                  <c:v>101.80753581019711</c:v>
                </c:pt>
                <c:pt idx="21">
                  <c:v>119.45989396437439</c:v>
                </c:pt>
                <c:pt idx="22">
                  <c:v>137.04857380812416</c:v>
                </c:pt>
                <c:pt idx="23">
                  <c:v>154.58291256812603</c:v>
                </c:pt>
                <c:pt idx="24">
                  <c:v>172.06994842761648</c:v>
                </c:pt>
                <c:pt idx="25">
                  <c:v>189.51516847653488</c:v>
                </c:pt>
                <c:pt idx="26">
                  <c:v>133.57711529041219</c:v>
                </c:pt>
                <c:pt idx="27">
                  <c:v>150.29057534533729</c:v>
                </c:pt>
                <c:pt idx="28">
                  <c:v>166.95971050536991</c:v>
                </c:pt>
                <c:pt idx="29">
                  <c:v>183.58957225263211</c:v>
                </c:pt>
                <c:pt idx="30">
                  <c:v>200.18422046389355</c:v>
                </c:pt>
                <c:pt idx="31">
                  <c:v>215.16760361155573</c:v>
                </c:pt>
                <c:pt idx="32">
                  <c:v>230.12697836929533</c:v>
                </c:pt>
                <c:pt idx="33">
                  <c:v>245.06412551034927</c:v>
                </c:pt>
                <c:pt idx="34">
                  <c:v>259.98059086599062</c:v>
                </c:pt>
                <c:pt idx="35">
                  <c:v>274.87772831278636</c:v>
                </c:pt>
                <c:pt idx="36">
                  <c:v>215.95732803970441</c:v>
                </c:pt>
                <c:pt idx="37">
                  <c:v>228.96124212976682</c:v>
                </c:pt>
                <c:pt idx="38">
                  <c:v>241.94826609319242</c:v>
                </c:pt>
                <c:pt idx="39">
                  <c:v>254.9194346126543</c:v>
                </c:pt>
                <c:pt idx="40">
                  <c:v>267.87566841306415</c:v>
                </c:pt>
                <c:pt idx="41">
                  <c:v>279.00876360809997</c:v>
                </c:pt>
                <c:pt idx="42">
                  <c:v>290.13189569156822</c:v>
                </c:pt>
                <c:pt idx="43">
                  <c:v>301.24550066193814</c:v>
                </c:pt>
                <c:pt idx="44">
                  <c:v>312.34997970388781</c:v>
                </c:pt>
                <c:pt idx="45">
                  <c:v>323.44570313359856</c:v>
                </c:pt>
                <c:pt idx="46">
                  <c:v>265.9621981633228</c:v>
                </c:pt>
                <c:pt idx="47">
                  <c:v>275.49235028250746</c:v>
                </c:pt>
                <c:pt idx="48">
                  <c:v>285.01509894296203</c:v>
                </c:pt>
                <c:pt idx="49">
                  <c:v>294.53072656898814</c:v>
                </c:pt>
                <c:pt idx="50">
                  <c:v>304.03949583203604</c:v>
                </c:pt>
                <c:pt idx="51">
                  <c:v>312.14568297105785</c:v>
                </c:pt>
                <c:pt idx="52">
                  <c:v>320.24720053519974</c:v>
                </c:pt>
                <c:pt idx="53">
                  <c:v>328.34418341805645</c:v>
                </c:pt>
                <c:pt idx="54">
                  <c:v>336.43675931157583</c:v>
                </c:pt>
                <c:pt idx="55">
                  <c:v>344.52504925832619</c:v>
                </c:pt>
                <c:pt idx="56">
                  <c:v>310.95389281759049</c:v>
                </c:pt>
                <c:pt idx="57">
                  <c:v>317.86487787755829</c:v>
                </c:pt>
                <c:pt idx="58">
                  <c:v>324.77253573875549</c:v>
                </c:pt>
                <c:pt idx="59">
                  <c:v>331.67694722590176</c:v>
                </c:pt>
                <c:pt idx="60">
                  <c:v>338.57818952062581</c:v>
                </c:pt>
                <c:pt idx="61">
                  <c:v>344.42312221570597</c:v>
                </c:pt>
                <c:pt idx="62">
                  <c:v>350.26587583499082</c:v>
                </c:pt>
                <c:pt idx="63">
                  <c:v>356.10649189731458</c:v>
                </c:pt>
                <c:pt idx="64">
                  <c:v>361.9450104469401</c:v>
                </c:pt>
                <c:pt idx="65">
                  <c:v>367.78147012940605</c:v>
                </c:pt>
                <c:pt idx="66">
                  <c:v>342.69026088762502</c:v>
                </c:pt>
                <c:pt idx="67">
                  <c:v>347.6504912157115</c:v>
                </c:pt>
                <c:pt idx="68">
                  <c:v>352.60916814916209</c:v>
                </c:pt>
                <c:pt idx="69">
                  <c:v>357.56631664360242</c:v>
                </c:pt>
                <c:pt idx="70">
                  <c:v>362.52196090538229</c:v>
                </c:pt>
                <c:pt idx="71">
                  <c:v>366.89934519516942</c:v>
                </c:pt>
                <c:pt idx="72">
                  <c:v>371.27558926273406</c:v>
                </c:pt>
                <c:pt idx="73">
                  <c:v>375.65070846197818</c:v>
                </c:pt>
                <c:pt idx="74">
                  <c:v>380.02471775952046</c:v>
                </c:pt>
                <c:pt idx="75">
                  <c:v>384.39763174891203</c:v>
                </c:pt>
                <c:pt idx="76">
                  <c:v>388.26116709316602</c:v>
                </c:pt>
                <c:pt idx="77">
                  <c:v>392.12386776166085</c:v>
                </c:pt>
                <c:pt idx="78">
                  <c:v>395.98574314748993</c:v>
                </c:pt>
                <c:pt idx="79">
                  <c:v>399.84680244535281</c:v>
                </c:pt>
                <c:pt idx="80">
                  <c:v>403.70705465766446</c:v>
                </c:pt>
                <c:pt idx="81">
                  <c:v>3.6623255315385623E-12</c:v>
                </c:pt>
                <c:pt idx="82">
                  <c:v>3.6623255315385623E-12</c:v>
                </c:pt>
                <c:pt idx="83">
                  <c:v>3.6623255315385623E-12</c:v>
                </c:pt>
                <c:pt idx="84">
                  <c:v>3.6623255315385623E-12</c:v>
                </c:pt>
                <c:pt idx="85">
                  <c:v>3.6623255315385623E-12</c:v>
                </c:pt>
                <c:pt idx="86">
                  <c:v>3.6623255315385623E-12</c:v>
                </c:pt>
                <c:pt idx="87">
                  <c:v>3.6623255315385623E-12</c:v>
                </c:pt>
                <c:pt idx="88">
                  <c:v>3.6623255315385623E-12</c:v>
                </c:pt>
                <c:pt idx="89">
                  <c:v>3.6623255315385623E-12</c:v>
                </c:pt>
                <c:pt idx="90">
                  <c:v>3.6623255315385623E-12</c:v>
                </c:pt>
                <c:pt idx="91">
                  <c:v>3.6623255315385623E-12</c:v>
                </c:pt>
                <c:pt idx="92">
                  <c:v>3.6623255315385623E-12</c:v>
                </c:pt>
                <c:pt idx="93">
                  <c:v>3.6623255315385623E-12</c:v>
                </c:pt>
                <c:pt idx="94">
                  <c:v>3.6623255315385623E-12</c:v>
                </c:pt>
                <c:pt idx="95">
                  <c:v>3.6623255315385623E-12</c:v>
                </c:pt>
                <c:pt idx="96">
                  <c:v>3.6623255315385623E-12</c:v>
                </c:pt>
                <c:pt idx="97">
                  <c:v>3.6623255315385623E-12</c:v>
                </c:pt>
                <c:pt idx="98">
                  <c:v>3.6623255315385623E-12</c:v>
                </c:pt>
                <c:pt idx="99">
                  <c:v>3.6623255315385623E-12</c:v>
                </c:pt>
                <c:pt idx="100">
                  <c:v>3.6623255315385623E-12</c:v>
                </c:pt>
                <c:pt idx="101">
                  <c:v>3.6623255315385623E-12</c:v>
                </c:pt>
                <c:pt idx="102">
                  <c:v>3.6623255315385623E-12</c:v>
                </c:pt>
                <c:pt idx="103">
                  <c:v>3.6623255315385623E-12</c:v>
                </c:pt>
                <c:pt idx="104">
                  <c:v>3.6623255315385623E-12</c:v>
                </c:pt>
                <c:pt idx="105">
                  <c:v>3.6623255315385623E-12</c:v>
                </c:pt>
                <c:pt idx="106">
                  <c:v>3.6623255315385623E-12</c:v>
                </c:pt>
                <c:pt idx="107">
                  <c:v>3.6623255315385623E-12</c:v>
                </c:pt>
                <c:pt idx="108">
                  <c:v>3.6623255315385623E-12</c:v>
                </c:pt>
                <c:pt idx="109">
                  <c:v>3.6623255315385623E-12</c:v>
                </c:pt>
                <c:pt idx="110">
                  <c:v>3.6623255315385623E-12</c:v>
                </c:pt>
                <c:pt idx="111">
                  <c:v>3.6623255315385623E-12</c:v>
                </c:pt>
                <c:pt idx="112">
                  <c:v>3.6623255315385623E-12</c:v>
                </c:pt>
                <c:pt idx="113">
                  <c:v>3.6623255315385623E-12</c:v>
                </c:pt>
                <c:pt idx="114">
                  <c:v>3.6623255315385623E-12</c:v>
                </c:pt>
                <c:pt idx="115">
                  <c:v>3.6623255315385623E-12</c:v>
                </c:pt>
                <c:pt idx="116">
                  <c:v>3.6623255315385623E-12</c:v>
                </c:pt>
                <c:pt idx="117">
                  <c:v>3.6623255315385623E-12</c:v>
                </c:pt>
                <c:pt idx="118">
                  <c:v>3.6623255315385623E-12</c:v>
                </c:pt>
                <c:pt idx="119">
                  <c:v>3.6623255315385623E-12</c:v>
                </c:pt>
                <c:pt idx="120">
                  <c:v>3.6623255315385623E-12</c:v>
                </c:pt>
                <c:pt idx="121">
                  <c:v>3.6623255315385623E-12</c:v>
                </c:pt>
                <c:pt idx="122">
                  <c:v>3.6623255315385623E-12</c:v>
                </c:pt>
                <c:pt idx="123">
                  <c:v>3.6623255315385623E-12</c:v>
                </c:pt>
                <c:pt idx="124">
                  <c:v>3.6623255315385623E-12</c:v>
                </c:pt>
                <c:pt idx="125">
                  <c:v>3.6623255315385623E-12</c:v>
                </c:pt>
                <c:pt idx="126">
                  <c:v>3.6623255315385623E-12</c:v>
                </c:pt>
                <c:pt idx="127">
                  <c:v>3.6623255315385623E-12</c:v>
                </c:pt>
                <c:pt idx="128">
                  <c:v>3.6623255315385623E-12</c:v>
                </c:pt>
                <c:pt idx="129">
                  <c:v>3.6623255315385623E-12</c:v>
                </c:pt>
                <c:pt idx="130">
                  <c:v>3.6623255315385623E-12</c:v>
                </c:pt>
                <c:pt idx="131">
                  <c:v>3.6623255315385623E-12</c:v>
                </c:pt>
                <c:pt idx="132">
                  <c:v>3.6623255315385623E-12</c:v>
                </c:pt>
                <c:pt idx="133">
                  <c:v>3.6623255315385623E-12</c:v>
                </c:pt>
                <c:pt idx="134">
                  <c:v>3.6623255315385623E-12</c:v>
                </c:pt>
                <c:pt idx="135">
                  <c:v>3.6623255315385623E-12</c:v>
                </c:pt>
                <c:pt idx="136">
                  <c:v>3.6623255315385623E-12</c:v>
                </c:pt>
                <c:pt idx="137">
                  <c:v>3.6623255315385623E-12</c:v>
                </c:pt>
                <c:pt idx="138">
                  <c:v>3.6623255315385623E-12</c:v>
                </c:pt>
                <c:pt idx="139">
                  <c:v>3.6623255315385623E-12</c:v>
                </c:pt>
                <c:pt idx="140">
                  <c:v>3.6623255315385623E-12</c:v>
                </c:pt>
                <c:pt idx="141">
                  <c:v>3.6623255315385623E-12</c:v>
                </c:pt>
                <c:pt idx="142">
                  <c:v>3.6623255315385623E-12</c:v>
                </c:pt>
                <c:pt idx="143">
                  <c:v>3.6623255315385623E-12</c:v>
                </c:pt>
                <c:pt idx="144">
                  <c:v>3.6623255315385623E-12</c:v>
                </c:pt>
                <c:pt idx="145">
                  <c:v>3.6623255315385623E-12</c:v>
                </c:pt>
                <c:pt idx="146">
                  <c:v>3.6623255315385623E-12</c:v>
                </c:pt>
                <c:pt idx="147">
                  <c:v>3.6623255315385623E-12</c:v>
                </c:pt>
                <c:pt idx="148">
                  <c:v>3.6623255315385623E-12</c:v>
                </c:pt>
                <c:pt idx="149">
                  <c:v>3.6623255315385623E-12</c:v>
                </c:pt>
                <c:pt idx="150">
                  <c:v>3.6623255315385623E-12</c:v>
                </c:pt>
                <c:pt idx="151">
                  <c:v>3.6623255315385623E-12</c:v>
                </c:pt>
                <c:pt idx="152">
                  <c:v>3.6623255315385623E-12</c:v>
                </c:pt>
                <c:pt idx="153">
                  <c:v>3.6623255315385623E-12</c:v>
                </c:pt>
                <c:pt idx="154">
                  <c:v>3.6623255315385623E-12</c:v>
                </c:pt>
                <c:pt idx="155">
                  <c:v>3.6623255315385623E-12</c:v>
                </c:pt>
                <c:pt idx="156">
                  <c:v>3.6623255315385623E-12</c:v>
                </c:pt>
                <c:pt idx="157">
                  <c:v>3.6623255315385623E-12</c:v>
                </c:pt>
                <c:pt idx="158">
                  <c:v>3.6623255315385623E-12</c:v>
                </c:pt>
                <c:pt idx="159">
                  <c:v>3.6623255315385623E-12</c:v>
                </c:pt>
                <c:pt idx="160">
                  <c:v>3.6623255315385623E-12</c:v>
                </c:pt>
                <c:pt idx="161">
                  <c:v>3.6623255315385623E-12</c:v>
                </c:pt>
                <c:pt idx="162">
                  <c:v>3.6623255315385623E-12</c:v>
                </c:pt>
                <c:pt idx="163">
                  <c:v>3.6623255315385623E-12</c:v>
                </c:pt>
                <c:pt idx="164">
                  <c:v>3.6623255315385623E-12</c:v>
                </c:pt>
                <c:pt idx="165">
                  <c:v>3.6623255315385623E-12</c:v>
                </c:pt>
                <c:pt idx="166">
                  <c:v>3.6623255315385623E-12</c:v>
                </c:pt>
                <c:pt idx="167">
                  <c:v>3.6623255315385623E-12</c:v>
                </c:pt>
                <c:pt idx="168">
                  <c:v>3.6623255315385623E-12</c:v>
                </c:pt>
                <c:pt idx="169">
                  <c:v>3.6623255315385623E-12</c:v>
                </c:pt>
                <c:pt idx="170">
                  <c:v>3.6623255315385623E-12</c:v>
                </c:pt>
                <c:pt idx="171">
                  <c:v>3.6623255315385623E-12</c:v>
                </c:pt>
                <c:pt idx="172">
                  <c:v>3.6623255315385623E-12</c:v>
                </c:pt>
                <c:pt idx="173">
                  <c:v>3.6623255315385623E-12</c:v>
                </c:pt>
                <c:pt idx="174">
                  <c:v>3.6623255315385623E-12</c:v>
                </c:pt>
                <c:pt idx="175">
                  <c:v>3.6623255315385623E-12</c:v>
                </c:pt>
                <c:pt idx="176">
                  <c:v>3.6623255315385623E-12</c:v>
                </c:pt>
                <c:pt idx="177">
                  <c:v>3.6623255315385623E-12</c:v>
                </c:pt>
                <c:pt idx="178">
                  <c:v>3.6623255315385623E-12</c:v>
                </c:pt>
                <c:pt idx="179">
                  <c:v>3.6623255315385623E-12</c:v>
                </c:pt>
                <c:pt idx="180">
                  <c:v>3.6623255315385623E-12</c:v>
                </c:pt>
                <c:pt idx="181">
                  <c:v>3.6623255315385623E-12</c:v>
                </c:pt>
                <c:pt idx="182">
                  <c:v>3.6623255315385623E-12</c:v>
                </c:pt>
                <c:pt idx="183">
                  <c:v>3.6623255315385623E-12</c:v>
                </c:pt>
                <c:pt idx="184">
                  <c:v>3.6623255315385623E-12</c:v>
                </c:pt>
                <c:pt idx="185">
                  <c:v>3.6623255315385623E-12</c:v>
                </c:pt>
                <c:pt idx="186">
                  <c:v>3.6623255315385623E-12</c:v>
                </c:pt>
                <c:pt idx="187">
                  <c:v>3.6623255315385623E-12</c:v>
                </c:pt>
                <c:pt idx="188">
                  <c:v>3.6623255315385623E-12</c:v>
                </c:pt>
                <c:pt idx="189">
                  <c:v>3.6623255315385623E-12</c:v>
                </c:pt>
                <c:pt idx="190">
                  <c:v>3.6623255315385623E-12</c:v>
                </c:pt>
                <c:pt idx="191">
                  <c:v>3.6623255315385623E-12</c:v>
                </c:pt>
                <c:pt idx="192">
                  <c:v>3.6623255315385623E-12</c:v>
                </c:pt>
                <c:pt idx="193">
                  <c:v>3.6623255315385623E-12</c:v>
                </c:pt>
                <c:pt idx="194">
                  <c:v>3.6623255315385623E-12</c:v>
                </c:pt>
                <c:pt idx="195">
                  <c:v>3.6623255315385623E-12</c:v>
                </c:pt>
                <c:pt idx="196">
                  <c:v>3.6623255315385623E-12</c:v>
                </c:pt>
                <c:pt idx="197">
                  <c:v>3.6623255315385623E-12</c:v>
                </c:pt>
                <c:pt idx="198">
                  <c:v>3.6623255315385623E-12</c:v>
                </c:pt>
                <c:pt idx="199">
                  <c:v>3.6623255315385623E-12</c:v>
                </c:pt>
                <c:pt idx="200">
                  <c:v>3.6623255315385623E-12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00422432"/>
        <c:axId val="-1300424608"/>
      </c:scatterChart>
      <c:valAx>
        <c:axId val="-1300422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00424608"/>
        <c:crosses val="autoZero"/>
        <c:crossBetween val="midCat"/>
      </c:valAx>
      <c:valAx>
        <c:axId val="-1300424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00422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2.5704227026509772</c:v>
                </c:pt>
                <c:pt idx="2">
                  <c:v>2.9579343879147815</c:v>
                </c:pt>
                <c:pt idx="3">
                  <c:v>3.4040766440330459</c:v>
                </c:pt>
                <c:pt idx="4">
                  <c:v>3.9177503334914885</c:v>
                </c:pt>
                <c:pt idx="5">
                  <c:v>4.5092118646449473</c:v>
                </c:pt>
                <c:pt idx="6">
                  <c:v>5.1902802411202194</c:v>
                </c:pt>
                <c:pt idx="7">
                  <c:v>5.9745758225648977</c:v>
                </c:pt>
                <c:pt idx="8">
                  <c:v>6.8777956657557882</c:v>
                </c:pt>
                <c:pt idx="9">
                  <c:v>7.9180310643884466</c:v>
                </c:pt>
                <c:pt idx="10">
                  <c:v>9.1161337707309666</c:v>
                </c:pt>
                <c:pt idx="11">
                  <c:v>10.496138380594116</c:v>
                </c:pt>
                <c:pt idx="12">
                  <c:v>12.085749515363085</c:v>
                </c:pt>
                <c:pt idx="13">
                  <c:v>13.916903764961774</c:v>
                </c:pt>
                <c:pt idx="14">
                  <c:v>16.02641789107356</c:v>
                </c:pt>
                <c:pt idx="15">
                  <c:v>18.456736562475083</c:v>
                </c:pt>
                <c:pt idx="16">
                  <c:v>37.452161865923721</c:v>
                </c:pt>
                <c:pt idx="17">
                  <c:v>56.173773491034659</c:v>
                </c:pt>
                <c:pt idx="18">
                  <c:v>74.729353102787385</c:v>
                </c:pt>
                <c:pt idx="19">
                  <c:v>93.166585132882361</c:v>
                </c:pt>
                <c:pt idx="20">
                  <c:v>111.5123681968909</c:v>
                </c:pt>
                <c:pt idx="21">
                  <c:v>130.85220039305761</c:v>
                </c:pt>
                <c:pt idx="22">
                  <c:v>150.12286837220327</c:v>
                </c:pt>
                <c:pt idx="23">
                  <c:v>169.33451376604069</c:v>
                </c:pt>
                <c:pt idx="24">
                  <c:v>188.4947810995192</c:v>
                </c:pt>
                <c:pt idx="25">
                  <c:v>207.60963017711296</c:v>
                </c:pt>
                <c:pt idx="26">
                  <c:v>146.31939442264749</c:v>
                </c:pt>
                <c:pt idx="27">
                  <c:v>164.63153458751853</c:v>
                </c:pt>
                <c:pt idx="28">
                  <c:v>182.89553125377611</c:v>
                </c:pt>
                <c:pt idx="29">
                  <c:v>201.11687109032559</c:v>
                </c:pt>
                <c:pt idx="30">
                  <c:v>219.29996373360507</c:v>
                </c:pt>
                <c:pt idx="31">
                  <c:v>235.71782415445148</c:v>
                </c:pt>
                <c:pt idx="32">
                  <c:v>252.10960785498642</c:v>
                </c:pt>
                <c:pt idx="33">
                  <c:v>268.47724902262462</c:v>
                </c:pt>
                <c:pt idx="34">
                  <c:v>284.82242666249249</c:v>
                </c:pt>
                <c:pt idx="35">
                  <c:v>301.14661128805159</c:v>
                </c:pt>
                <c:pt idx="36">
                  <c:v>236.5831616738536</c:v>
                </c:pt>
                <c:pt idx="37">
                  <c:v>250.83224068764514</c:v>
                </c:pt>
                <c:pt idx="38">
                  <c:v>265.06297448504552</c:v>
                </c:pt>
                <c:pt idx="39">
                  <c:v>279.27648688696752</c:v>
                </c:pt>
                <c:pt idx="40">
                  <c:v>293.47377793906509</c:v>
                </c:pt>
                <c:pt idx="41">
                  <c:v>305.67340388154349</c:v>
                </c:pt>
                <c:pt idx="42">
                  <c:v>317.86220838723989</c:v>
                </c:pt>
                <c:pt idx="43">
                  <c:v>330.04066501602989</c:v>
                </c:pt>
                <c:pt idx="44">
                  <c:v>342.20920951477842</c:v>
                </c:pt>
                <c:pt idx="45">
                  <c:v>354.36824410252319</c:v>
                </c:pt>
                <c:pt idx="46">
                  <c:v>291.37701063987066</c:v>
                </c:pt>
                <c:pt idx="47">
                  <c:v>301.82011380772144</c:v>
                </c:pt>
                <c:pt idx="48">
                  <c:v>312.25517570652994</c:v>
                </c:pt>
                <c:pt idx="49">
                  <c:v>322.68250309154058</c:v>
                </c:pt>
                <c:pt idx="50">
                  <c:v>333.10238126343216</c:v>
                </c:pt>
                <c:pt idx="51">
                  <c:v>341.98533566284544</c:v>
                </c:pt>
                <c:pt idx="52">
                  <c:v>350.86321820202534</c:v>
                </c:pt>
                <c:pt idx="53">
                  <c:v>359.7361753956925</c:v>
                </c:pt>
                <c:pt idx="54">
                  <c:v>368.60434593649614</c:v>
                </c:pt>
                <c:pt idx="55">
                  <c:v>377.4678612948606</c:v>
                </c:pt>
                <c:pt idx="56">
                  <c:v>340.67934054681456</c:v>
                </c:pt>
                <c:pt idx="57">
                  <c:v>348.25259396614143</c:v>
                </c:pt>
                <c:pt idx="58">
                  <c:v>355.82223354747094</c:v>
                </c:pt>
                <c:pt idx="59">
                  <c:v>363.38834707859746</c:v>
                </c:pt>
                <c:pt idx="60">
                  <c:v>370.95101839037198</c:v>
                </c:pt>
                <c:pt idx="61">
                  <c:v>377.35616475980373</c:v>
                </c:pt>
                <c:pt idx="62">
                  <c:v>383.75894432537103</c:v>
                </c:pt>
                <c:pt idx="63">
                  <c:v>390.15940218276842</c:v>
                </c:pt>
                <c:pt idx="64">
                  <c:v>396.55758182608514</c:v>
                </c:pt>
                <c:pt idx="65">
                  <c:v>402.95352523018482</c:v>
                </c:pt>
                <c:pt idx="66">
                  <c:v>375.45721330712422</c:v>
                </c:pt>
                <c:pt idx="67">
                  <c:v>380.89287339336153</c:v>
                </c:pt>
                <c:pt idx="68">
                  <c:v>386.32684625952356</c:v>
                </c:pt>
                <c:pt idx="69">
                  <c:v>391.75915901117088</c:v>
                </c:pt>
                <c:pt idx="70">
                  <c:v>397.18983794003816</c:v>
                </c:pt>
                <c:pt idx="71">
                  <c:v>401.98683842639497</c:v>
                </c:pt>
                <c:pt idx="72">
                  <c:v>406.78260046002401</c:v>
                </c:pt>
                <c:pt idx="73">
                  <c:v>411.57714071757073</c:v>
                </c:pt>
                <c:pt idx="74">
                  <c:v>416.37047545503287</c:v>
                </c:pt>
                <c:pt idx="75">
                  <c:v>421.16262052320036</c:v>
                </c:pt>
                <c:pt idx="76">
                  <c:v>425.39656158745873</c:v>
                </c:pt>
                <c:pt idx="77">
                  <c:v>429.62959606837711</c:v>
                </c:pt>
                <c:pt idx="78">
                  <c:v>433.86173416826705</c:v>
                </c:pt>
                <c:pt idx="79">
                  <c:v>438.09298587395421</c:v>
                </c:pt>
                <c:pt idx="80">
                  <c:v>442.32336096341459</c:v>
                </c:pt>
                <c:pt idx="81">
                  <c:v>3.9806453659427267E-12</c:v>
                </c:pt>
                <c:pt idx="82">
                  <c:v>3.9806453659427267E-12</c:v>
                </c:pt>
                <c:pt idx="83">
                  <c:v>3.9806453659427267E-12</c:v>
                </c:pt>
                <c:pt idx="84">
                  <c:v>3.9806453659427267E-12</c:v>
                </c:pt>
                <c:pt idx="85">
                  <c:v>3.9806453659427267E-12</c:v>
                </c:pt>
                <c:pt idx="86">
                  <c:v>3.9806453659427267E-12</c:v>
                </c:pt>
                <c:pt idx="87">
                  <c:v>3.9806453659427267E-12</c:v>
                </c:pt>
                <c:pt idx="88">
                  <c:v>3.9806453659427267E-12</c:v>
                </c:pt>
                <c:pt idx="89">
                  <c:v>3.9806453659427267E-12</c:v>
                </c:pt>
                <c:pt idx="90">
                  <c:v>3.9806453659427267E-12</c:v>
                </c:pt>
                <c:pt idx="91">
                  <c:v>3.9806453659427267E-12</c:v>
                </c:pt>
                <c:pt idx="92">
                  <c:v>3.9806453659427267E-12</c:v>
                </c:pt>
                <c:pt idx="93">
                  <c:v>3.9806453659427267E-12</c:v>
                </c:pt>
                <c:pt idx="94">
                  <c:v>3.9806453659427267E-12</c:v>
                </c:pt>
                <c:pt idx="95">
                  <c:v>3.9806453659427267E-12</c:v>
                </c:pt>
                <c:pt idx="96">
                  <c:v>3.9806453659427267E-12</c:v>
                </c:pt>
                <c:pt idx="97">
                  <c:v>3.9806453659427267E-12</c:v>
                </c:pt>
                <c:pt idx="98">
                  <c:v>3.9806453659427267E-12</c:v>
                </c:pt>
                <c:pt idx="99">
                  <c:v>3.9806453659427267E-12</c:v>
                </c:pt>
                <c:pt idx="100">
                  <c:v>3.9806453659427267E-12</c:v>
                </c:pt>
                <c:pt idx="101">
                  <c:v>3.9806453659427267E-12</c:v>
                </c:pt>
                <c:pt idx="102">
                  <c:v>3.9806453659427267E-12</c:v>
                </c:pt>
                <c:pt idx="103">
                  <c:v>3.9806453659427267E-12</c:v>
                </c:pt>
                <c:pt idx="104">
                  <c:v>3.9806453659427267E-12</c:v>
                </c:pt>
                <c:pt idx="105">
                  <c:v>3.9806453659427267E-12</c:v>
                </c:pt>
                <c:pt idx="106">
                  <c:v>3.9806453659427267E-12</c:v>
                </c:pt>
                <c:pt idx="107">
                  <c:v>3.9806453659427267E-12</c:v>
                </c:pt>
                <c:pt idx="108">
                  <c:v>3.9806453659427267E-12</c:v>
                </c:pt>
                <c:pt idx="109">
                  <c:v>3.9806453659427267E-12</c:v>
                </c:pt>
                <c:pt idx="110">
                  <c:v>3.9806453659427267E-12</c:v>
                </c:pt>
                <c:pt idx="111">
                  <c:v>3.9806453659427267E-12</c:v>
                </c:pt>
                <c:pt idx="112">
                  <c:v>3.9806453659427267E-12</c:v>
                </c:pt>
                <c:pt idx="113">
                  <c:v>3.9806453659427267E-12</c:v>
                </c:pt>
                <c:pt idx="114">
                  <c:v>3.9806453659427267E-12</c:v>
                </c:pt>
                <c:pt idx="115">
                  <c:v>3.9806453659427267E-12</c:v>
                </c:pt>
                <c:pt idx="116">
                  <c:v>3.9806453659427267E-12</c:v>
                </c:pt>
                <c:pt idx="117">
                  <c:v>3.9806453659427267E-12</c:v>
                </c:pt>
                <c:pt idx="118">
                  <c:v>3.9806453659427267E-12</c:v>
                </c:pt>
                <c:pt idx="119">
                  <c:v>3.9806453659427267E-12</c:v>
                </c:pt>
                <c:pt idx="120">
                  <c:v>3.9806453659427267E-12</c:v>
                </c:pt>
                <c:pt idx="121">
                  <c:v>3.9806453659427267E-12</c:v>
                </c:pt>
                <c:pt idx="122">
                  <c:v>3.9806453659427267E-12</c:v>
                </c:pt>
                <c:pt idx="123">
                  <c:v>3.9806453659427267E-12</c:v>
                </c:pt>
                <c:pt idx="124">
                  <c:v>3.9806453659427267E-12</c:v>
                </c:pt>
                <c:pt idx="125">
                  <c:v>3.9806453659427267E-12</c:v>
                </c:pt>
                <c:pt idx="126">
                  <c:v>3.9806453659427267E-12</c:v>
                </c:pt>
                <c:pt idx="127">
                  <c:v>3.9806453659427267E-12</c:v>
                </c:pt>
                <c:pt idx="128">
                  <c:v>3.9806453659427267E-12</c:v>
                </c:pt>
                <c:pt idx="129">
                  <c:v>3.9806453659427267E-12</c:v>
                </c:pt>
                <c:pt idx="130">
                  <c:v>3.9806453659427267E-12</c:v>
                </c:pt>
                <c:pt idx="131">
                  <c:v>3.9806453659427267E-12</c:v>
                </c:pt>
                <c:pt idx="132">
                  <c:v>3.9806453659427267E-12</c:v>
                </c:pt>
                <c:pt idx="133">
                  <c:v>3.9806453659427267E-12</c:v>
                </c:pt>
                <c:pt idx="134">
                  <c:v>3.9806453659427267E-12</c:v>
                </c:pt>
                <c:pt idx="135">
                  <c:v>3.9806453659427267E-12</c:v>
                </c:pt>
                <c:pt idx="136">
                  <c:v>3.9806453659427267E-12</c:v>
                </c:pt>
                <c:pt idx="137">
                  <c:v>3.9806453659427267E-12</c:v>
                </c:pt>
                <c:pt idx="138">
                  <c:v>3.9806453659427267E-12</c:v>
                </c:pt>
                <c:pt idx="139">
                  <c:v>3.9806453659427267E-12</c:v>
                </c:pt>
                <c:pt idx="140">
                  <c:v>3.9806453659427267E-12</c:v>
                </c:pt>
                <c:pt idx="141">
                  <c:v>3.9806453659427267E-12</c:v>
                </c:pt>
                <c:pt idx="142">
                  <c:v>3.9806453659427267E-12</c:v>
                </c:pt>
                <c:pt idx="143">
                  <c:v>3.9806453659427267E-12</c:v>
                </c:pt>
                <c:pt idx="144">
                  <c:v>3.9806453659427267E-12</c:v>
                </c:pt>
                <c:pt idx="145">
                  <c:v>3.9806453659427267E-12</c:v>
                </c:pt>
                <c:pt idx="146">
                  <c:v>3.9806453659427267E-12</c:v>
                </c:pt>
                <c:pt idx="147">
                  <c:v>3.9806453659427267E-12</c:v>
                </c:pt>
                <c:pt idx="148">
                  <c:v>3.9806453659427267E-12</c:v>
                </c:pt>
                <c:pt idx="149">
                  <c:v>3.9806453659427267E-12</c:v>
                </c:pt>
                <c:pt idx="150">
                  <c:v>3.9806453659427267E-12</c:v>
                </c:pt>
                <c:pt idx="151">
                  <c:v>3.9806453659427267E-12</c:v>
                </c:pt>
                <c:pt idx="152">
                  <c:v>3.9806453659427267E-12</c:v>
                </c:pt>
                <c:pt idx="153">
                  <c:v>3.9806453659427267E-12</c:v>
                </c:pt>
                <c:pt idx="154">
                  <c:v>3.9806453659427267E-12</c:v>
                </c:pt>
                <c:pt idx="155">
                  <c:v>3.9806453659427267E-12</c:v>
                </c:pt>
                <c:pt idx="156">
                  <c:v>3.9806453659427267E-12</c:v>
                </c:pt>
                <c:pt idx="157">
                  <c:v>3.9806453659427267E-12</c:v>
                </c:pt>
                <c:pt idx="158">
                  <c:v>3.9806453659427267E-12</c:v>
                </c:pt>
                <c:pt idx="159">
                  <c:v>3.9806453659427267E-12</c:v>
                </c:pt>
                <c:pt idx="160">
                  <c:v>3.9806453659427267E-12</c:v>
                </c:pt>
                <c:pt idx="161">
                  <c:v>3.9806453659427267E-12</c:v>
                </c:pt>
                <c:pt idx="162">
                  <c:v>3.9806453659427267E-12</c:v>
                </c:pt>
                <c:pt idx="163">
                  <c:v>3.9806453659427267E-12</c:v>
                </c:pt>
                <c:pt idx="164">
                  <c:v>3.9806453659427267E-12</c:v>
                </c:pt>
                <c:pt idx="165">
                  <c:v>3.9806453659427267E-12</c:v>
                </c:pt>
                <c:pt idx="166">
                  <c:v>3.9806453659427267E-12</c:v>
                </c:pt>
                <c:pt idx="167">
                  <c:v>3.9806453659427267E-12</c:v>
                </c:pt>
                <c:pt idx="168">
                  <c:v>3.9806453659427267E-12</c:v>
                </c:pt>
                <c:pt idx="169">
                  <c:v>3.9806453659427267E-12</c:v>
                </c:pt>
                <c:pt idx="170">
                  <c:v>3.9806453659427267E-12</c:v>
                </c:pt>
                <c:pt idx="171">
                  <c:v>3.9806453659427267E-12</c:v>
                </c:pt>
                <c:pt idx="172">
                  <c:v>3.9806453659427267E-12</c:v>
                </c:pt>
                <c:pt idx="173">
                  <c:v>3.9806453659427267E-12</c:v>
                </c:pt>
                <c:pt idx="174">
                  <c:v>3.9806453659427267E-12</c:v>
                </c:pt>
                <c:pt idx="175">
                  <c:v>3.9806453659427267E-12</c:v>
                </c:pt>
                <c:pt idx="176">
                  <c:v>3.9806453659427267E-12</c:v>
                </c:pt>
                <c:pt idx="177">
                  <c:v>3.9806453659427267E-12</c:v>
                </c:pt>
                <c:pt idx="178">
                  <c:v>3.9806453659427267E-12</c:v>
                </c:pt>
                <c:pt idx="179">
                  <c:v>3.9806453659427267E-12</c:v>
                </c:pt>
                <c:pt idx="180">
                  <c:v>3.9806453659427267E-12</c:v>
                </c:pt>
                <c:pt idx="181">
                  <c:v>3.9806453659427267E-12</c:v>
                </c:pt>
                <c:pt idx="182">
                  <c:v>3.9806453659427267E-12</c:v>
                </c:pt>
                <c:pt idx="183">
                  <c:v>3.9806453659427267E-12</c:v>
                </c:pt>
                <c:pt idx="184">
                  <c:v>3.9806453659427267E-12</c:v>
                </c:pt>
                <c:pt idx="185">
                  <c:v>3.9806453659427267E-12</c:v>
                </c:pt>
                <c:pt idx="186">
                  <c:v>3.9806453659427267E-12</c:v>
                </c:pt>
                <c:pt idx="187">
                  <c:v>3.9806453659427267E-12</c:v>
                </c:pt>
                <c:pt idx="188">
                  <c:v>3.9806453659427267E-12</c:v>
                </c:pt>
                <c:pt idx="189">
                  <c:v>3.9806453659427267E-12</c:v>
                </c:pt>
                <c:pt idx="190">
                  <c:v>3.9806453659427267E-12</c:v>
                </c:pt>
                <c:pt idx="191">
                  <c:v>3.9806453659427267E-12</c:v>
                </c:pt>
                <c:pt idx="192">
                  <c:v>3.9806453659427267E-12</c:v>
                </c:pt>
                <c:pt idx="193">
                  <c:v>3.9806453659427267E-12</c:v>
                </c:pt>
                <c:pt idx="194">
                  <c:v>3.9806453659427267E-12</c:v>
                </c:pt>
                <c:pt idx="195">
                  <c:v>3.9806453659427267E-12</c:v>
                </c:pt>
                <c:pt idx="196">
                  <c:v>3.9806453659427267E-12</c:v>
                </c:pt>
                <c:pt idx="197">
                  <c:v>3.9806453659427267E-12</c:v>
                </c:pt>
                <c:pt idx="198">
                  <c:v>3.9806453659427267E-12</c:v>
                </c:pt>
                <c:pt idx="199">
                  <c:v>3.9806453659427267E-12</c:v>
                </c:pt>
                <c:pt idx="200">
                  <c:v>3.9806453659427267E-12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00414816"/>
        <c:axId val="-1300413728"/>
      </c:scatterChart>
      <c:valAx>
        <c:axId val="-13004148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00413728"/>
        <c:crosses val="autoZero"/>
        <c:crossBetween val="midCat"/>
      </c:valAx>
      <c:valAx>
        <c:axId val="-1300413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00414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2.3282881589658171</c:v>
                </c:pt>
                <c:pt idx="2">
                  <c:v>2.4692516704359786</c:v>
                </c:pt>
                <c:pt idx="3">
                  <c:v>2.6187782350426345</c:v>
                </c:pt>
                <c:pt idx="4">
                  <c:v>2.7773896752981226</c:v>
                </c:pt>
                <c:pt idx="5">
                  <c:v>2.9456397074755554</c:v>
                </c:pt>
                <c:pt idx="6">
                  <c:v>3.1241158963615416</c:v>
                </c:pt>
                <c:pt idx="7">
                  <c:v>3.3134417301233028</c:v>
                </c:pt>
                <c:pt idx="8">
                  <c:v>3.514278822688425</c:v>
                </c:pt>
                <c:pt idx="9">
                  <c:v>3.7273292514922112</c:v>
                </c:pt>
                <c:pt idx="10">
                  <c:v>3.9533380389325044</c:v>
                </c:pt>
                <c:pt idx="11">
                  <c:v>4.1930957863867819</c:v>
                </c:pt>
                <c:pt idx="12">
                  <c:v>4.4474414701931062</c:v>
                </c:pt>
                <c:pt idx="13">
                  <c:v>4.7172654095771263</c:v>
                </c:pt>
                <c:pt idx="14">
                  <c:v>5.003512417123857</c:v>
                </c:pt>
                <c:pt idx="15">
                  <c:v>5.3071851430476604</c:v>
                </c:pt>
                <c:pt idx="16">
                  <c:v>5.6293476252090633</c:v>
                </c:pt>
                <c:pt idx="17">
                  <c:v>5.9711290575652809</c:v>
                </c:pt>
                <c:pt idx="18">
                  <c:v>6.333727790525292</c:v>
                </c:pt>
                <c:pt idx="19">
                  <c:v>15.035436191157146</c:v>
                </c:pt>
                <c:pt idx="20">
                  <c:v>23.578782929008216</c:v>
                </c:pt>
                <c:pt idx="21">
                  <c:v>32.032421116321167</c:v>
                </c:pt>
                <c:pt idx="22">
                  <c:v>51.647109078738964</c:v>
                </c:pt>
                <c:pt idx="23">
                  <c:v>71.060821810548774</c:v>
                </c:pt>
                <c:pt idx="24">
                  <c:v>90.337363448897307</c:v>
                </c:pt>
                <c:pt idx="25">
                  <c:v>109.51040959893373</c:v>
                </c:pt>
                <c:pt idx="26">
                  <c:v>128.6007226213413</c:v>
                </c:pt>
                <c:pt idx="27">
                  <c:v>147.62234714684953</c:v>
                </c:pt>
                <c:pt idx="28">
                  <c:v>148.24496805506811</c:v>
                </c:pt>
                <c:pt idx="29">
                  <c:v>171.24037882872651</c:v>
                </c:pt>
                <c:pt idx="30">
                  <c:v>194.16304064471555</c:v>
                </c:pt>
                <c:pt idx="31">
                  <c:v>196.32800949959145</c:v>
                </c:pt>
                <c:pt idx="32">
                  <c:v>222.57460194352402</c:v>
                </c:pt>
                <c:pt idx="33">
                  <c:v>248.75016451475827</c:v>
                </c:pt>
                <c:pt idx="34">
                  <c:v>274.86322161173609</c:v>
                </c:pt>
                <c:pt idx="35">
                  <c:v>300.92054389894366</c:v>
                </c:pt>
                <c:pt idx="36">
                  <c:v>326.9276331083118</c:v>
                </c:pt>
                <c:pt idx="37">
                  <c:v>244.44339805963327</c:v>
                </c:pt>
                <c:pt idx="38">
                  <c:v>272.40799274231136</c:v>
                </c:pt>
                <c:pt idx="39">
                  <c:v>300.30802702917384</c:v>
                </c:pt>
                <c:pt idx="40">
                  <c:v>328.1503383149593</c:v>
                </c:pt>
                <c:pt idx="41">
                  <c:v>355.94050870298332</c:v>
                </c:pt>
                <c:pt idx="42">
                  <c:v>383.6831775834537</c:v>
                </c:pt>
                <c:pt idx="43">
                  <c:v>304.2888920593129</c:v>
                </c:pt>
                <c:pt idx="44">
                  <c:v>333.04015745702907</c:v>
                </c:pt>
                <c:pt idx="45">
                  <c:v>361.73671774155088</c:v>
                </c:pt>
                <c:pt idx="46">
                  <c:v>390.38351842752627</c:v>
                </c:pt>
                <c:pt idx="47">
                  <c:v>418.98472026564724</c:v>
                </c:pt>
                <c:pt idx="48">
                  <c:v>447.5438699506708</c:v>
                </c:pt>
                <c:pt idx="49">
                  <c:v>360.82166278303589</c:v>
                </c:pt>
                <c:pt idx="50">
                  <c:v>389.16546165993583</c:v>
                </c:pt>
                <c:pt idx="51">
                  <c:v>417.46446772037785</c:v>
                </c:pt>
                <c:pt idx="52">
                  <c:v>445.72214076928805</c:v>
                </c:pt>
                <c:pt idx="53">
                  <c:v>473.94146647365955</c:v>
                </c:pt>
                <c:pt idx="54">
                  <c:v>502.125046274314</c:v>
                </c:pt>
                <c:pt idx="55">
                  <c:v>412.59885500930062</c:v>
                </c:pt>
                <c:pt idx="56">
                  <c:v>439.6485541302448</c:v>
                </c:pt>
                <c:pt idx="57">
                  <c:v>466.66258036748872</c:v>
                </c:pt>
                <c:pt idx="58">
                  <c:v>493.64328668822759</c:v>
                </c:pt>
                <c:pt idx="59">
                  <c:v>520.59274811782768</c:v>
                </c:pt>
                <c:pt idx="60">
                  <c:v>547.51280754879247</c:v>
                </c:pt>
                <c:pt idx="61">
                  <c:v>461.70751193736891</c:v>
                </c:pt>
                <c:pt idx="62">
                  <c:v>486.77483940109096</c:v>
                </c:pt>
                <c:pt idx="63">
                  <c:v>511.81477745903248</c:v>
                </c:pt>
                <c:pt idx="64">
                  <c:v>536.82885307947356</c:v>
                </c:pt>
                <c:pt idx="65">
                  <c:v>561.81843946972958</c:v>
                </c:pt>
                <c:pt idx="66">
                  <c:v>586.78477784679262</c:v>
                </c:pt>
                <c:pt idx="67">
                  <c:v>611.72899531220708</c:v>
                </c:pt>
                <c:pt idx="68">
                  <c:v>636.65211966178947</c:v>
                </c:pt>
                <c:pt idx="69">
                  <c:v>661.55509175751888</c:v>
                </c:pt>
                <c:pt idx="70">
                  <c:v>532.19103450300565</c:v>
                </c:pt>
                <c:pt idx="71">
                  <c:v>554.96881965653654</c:v>
                </c:pt>
                <c:pt idx="72">
                  <c:v>577.72702726054183</c:v>
                </c:pt>
                <c:pt idx="73">
                  <c:v>600.46653622697943</c:v>
                </c:pt>
                <c:pt idx="74">
                  <c:v>623.18815354114236</c:v>
                </c:pt>
                <c:pt idx="75">
                  <c:v>645.89262260822341</c:v>
                </c:pt>
                <c:pt idx="76">
                  <c:v>668.58063036620888</c:v>
                </c:pt>
                <c:pt idx="77">
                  <c:v>691.25281338392233</c:v>
                </c:pt>
                <c:pt idx="78">
                  <c:v>713.90976311819611</c:v>
                </c:pt>
                <c:pt idx="79">
                  <c:v>665.16841660226919</c:v>
                </c:pt>
                <c:pt idx="80">
                  <c:v>686.8399721021666</c:v>
                </c:pt>
                <c:pt idx="81">
                  <c:v>708.49751068429669</c:v>
                </c:pt>
                <c:pt idx="82">
                  <c:v>730.14152063681968</c:v>
                </c:pt>
                <c:pt idx="83">
                  <c:v>751.77245897300372</c:v>
                </c:pt>
                <c:pt idx="84">
                  <c:v>773.39075429462139</c:v>
                </c:pt>
                <c:pt idx="85">
                  <c:v>794.09679639066474</c:v>
                </c:pt>
                <c:pt idx="86">
                  <c:v>814.79193114229065</c:v>
                </c:pt>
                <c:pt idx="87">
                  <c:v>835.47647425032699</c:v>
                </c:pt>
                <c:pt idx="88">
                  <c:v>856.15072452917377</c:v>
                </c:pt>
                <c:pt idx="89">
                  <c:v>876.81496520415214</c:v>
                </c:pt>
                <c:pt idx="90">
                  <c:v>897.46946508035228</c:v>
                </c:pt>
                <c:pt idx="91">
                  <c:v>917.81534306490391</c:v>
                </c:pt>
                <c:pt idx="92">
                  <c:v>938.15224136386041</c:v>
                </c:pt>
                <c:pt idx="93">
                  <c:v>958.48038177822752</c:v>
                </c:pt>
                <c:pt idx="94">
                  <c:v>978.79997594718259</c:v>
                </c:pt>
                <c:pt idx="95">
                  <c:v>999.11122601914394</c:v>
                </c:pt>
                <c:pt idx="96">
                  <c:v>1019.4143252655093</c:v>
                </c:pt>
                <c:pt idx="97">
                  <c:v>1039.7094586430337</c:v>
                </c:pt>
                <c:pt idx="98">
                  <c:v>1059.9968033100852</c:v>
                </c:pt>
                <c:pt idx="99">
                  <c:v>1080.2765291013793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00421888"/>
        <c:axId val="-1300421344"/>
      </c:scatterChart>
      <c:valAx>
        <c:axId val="-13004218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00421344"/>
        <c:crosses val="autoZero"/>
        <c:crossBetween val="midCat"/>
      </c:valAx>
      <c:valAx>
        <c:axId val="-130042134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004218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0" t="s">
        <v>291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</row>
    <row r="13" spans="2:13" ht="15" customHeight="1" x14ac:dyDescent="0.3"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</row>
    <row r="14" spans="2:13" ht="15" customHeight="1" x14ac:dyDescent="0.3"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</row>
    <row r="15" spans="2:13" ht="18.75" customHeight="1" x14ac:dyDescent="0.3"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</row>
    <row r="16" spans="2:13" ht="18.75" customHeight="1" x14ac:dyDescent="0.3"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</row>
    <row r="18" spans="2:13" ht="12" customHeight="1" x14ac:dyDescent="0.3">
      <c r="B18" s="290" t="s">
        <v>292</v>
      </c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</row>
    <row r="19" spans="2:13" ht="12" customHeight="1" x14ac:dyDescent="0.3"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</row>
    <row r="20" spans="2:13" ht="12" customHeight="1" x14ac:dyDescent="0.3"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</row>
    <row r="21" spans="2:13" ht="12" customHeight="1" x14ac:dyDescent="0.3"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</row>
    <row r="22" spans="2:13" ht="12" customHeight="1" x14ac:dyDescent="0.3"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</row>
    <row r="23" spans="2:13" ht="12" customHeight="1" x14ac:dyDescent="0.3"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</row>
    <row r="24" spans="2:13" ht="12" customHeight="1" x14ac:dyDescent="0.3"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</row>
    <row r="25" spans="2:13" ht="12" customHeight="1" x14ac:dyDescent="0.3"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</row>
    <row r="26" spans="2:13" ht="12" customHeight="1" x14ac:dyDescent="0.3"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</row>
    <row r="27" spans="2:13" ht="12" customHeight="1" x14ac:dyDescent="0.3"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</row>
    <row r="28" spans="2:13" ht="12" customHeight="1" x14ac:dyDescent="0.3"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</row>
    <row r="29" spans="2:13" ht="12" customHeight="1" x14ac:dyDescent="0.3"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</row>
    <row r="30" spans="2:13" ht="12" customHeight="1" x14ac:dyDescent="0.3"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</row>
    <row r="31" spans="2:13" ht="12" customHeight="1" x14ac:dyDescent="0.3"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85" zoomScaleNormal="85" workbookViewId="0">
      <selection activeCell="C19" sqref="C19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5" t="s">
        <v>190</v>
      </c>
      <c r="D1" s="295"/>
      <c r="E1" s="29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6" t="s">
        <v>192</v>
      </c>
      <c r="C3" s="297"/>
      <c r="D3" s="297"/>
      <c r="E3" s="297"/>
      <c r="F3" s="298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2" t="s">
        <v>231</v>
      </c>
      <c r="B5" s="302"/>
      <c r="C5" s="26">
        <v>1.61</v>
      </c>
      <c r="D5" s="303" t="s">
        <v>229</v>
      </c>
      <c r="E5" s="304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6"/>
      <c r="B6" s="96"/>
      <c r="C6" s="97"/>
      <c r="D6" s="90"/>
      <c r="E6" s="90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5.8" x14ac:dyDescent="0.3">
      <c r="A7" s="300" t="s">
        <v>226</v>
      </c>
      <c r="B7" s="300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</v>
      </c>
      <c r="C9" s="35">
        <v>9.7199999999999995E-2</v>
      </c>
      <c r="D9" s="36">
        <f t="shared" ref="D9:D18" si="0">C9*$C$5</f>
        <v>0.15649199999999999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4</v>
      </c>
      <c r="C10" s="35">
        <v>5.3999999999999999E-2</v>
      </c>
      <c r="D10" s="36">
        <f t="shared" si="0"/>
        <v>8.6940000000000003E-2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5</v>
      </c>
      <c r="C11" s="35">
        <v>6.5299999999999997E-2</v>
      </c>
      <c r="D11" s="36">
        <f t="shared" si="0"/>
        <v>0.105133</v>
      </c>
      <c r="E11" s="37">
        <v>60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6</v>
      </c>
      <c r="C12" s="35">
        <v>6.5299999999999997E-2</v>
      </c>
      <c r="D12" s="36">
        <f t="shared" si="0"/>
        <v>0.105133</v>
      </c>
      <c r="E12" s="37">
        <v>120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11</v>
      </c>
      <c r="C13" s="35">
        <v>2.0400000000000001E-2</v>
      </c>
      <c r="D13" s="36">
        <f t="shared" si="0"/>
        <v>3.2844000000000005E-2</v>
      </c>
      <c r="E13" s="37">
        <v>150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23</v>
      </c>
      <c r="C14" s="35">
        <v>0.15</v>
      </c>
      <c r="D14" s="36">
        <f t="shared" si="0"/>
        <v>0.24149999999999999</v>
      </c>
      <c r="E14" s="37">
        <v>80</v>
      </c>
      <c r="F14" s="38" t="str">
        <f t="array" ref="F14">IF(E14="","",IF(INDEX(A:A,MAX(IF(ISNUMBER($A$166:$A$185),ROW($A$166:$A$185),"")))&lt;&gt;E14,"Corrigez : révolution incorrecte","OK"))</f>
        <v>OK</v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22</v>
      </c>
      <c r="C15" s="35">
        <v>0.15</v>
      </c>
      <c r="D15" s="36">
        <f t="shared" si="0"/>
        <v>0.24149999999999999</v>
      </c>
      <c r="E15" s="37">
        <v>80</v>
      </c>
      <c r="F15" s="38" t="str">
        <f t="array" ref="F15">IF(E15="","",IF(INDEX(A:A,MAX(IF(ISNUMBER($A$192:$A$211),ROW($A$192:$A$211),"")))&lt;&gt;E15,"Corrigez : révolution incorrecte","OK"))</f>
        <v>OK</v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 t="s">
        <v>21</v>
      </c>
      <c r="C16" s="35">
        <v>6.5299999999999997E-2</v>
      </c>
      <c r="D16" s="36">
        <f t="shared" si="0"/>
        <v>0.105133</v>
      </c>
      <c r="E16" s="37">
        <v>80</v>
      </c>
      <c r="F16" s="38" t="str">
        <f t="array" ref="F16">IF(E16="","",IF(INDEX(A:A,MAX(IF(ISNUMBER($A$218:$A$237),ROW($A$218:$A$237),"")))&lt;&gt;E16,"Corrigez : révolution incorrecte","OK"))</f>
        <v>OK</v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 t="s">
        <v>25</v>
      </c>
      <c r="C17" s="35">
        <v>0.18240000000000001</v>
      </c>
      <c r="D17" s="36">
        <f t="shared" si="0"/>
        <v>0.29366400000000004</v>
      </c>
      <c r="E17" s="37">
        <v>99</v>
      </c>
      <c r="F17" s="38" t="str">
        <f t="array" ref="F17">IF(E17="","",IF(INDEX(A:A,MAX(IF(ISNUMBER($A$244:$A$263),ROW($A$244:$A$263),"")))&lt;&gt;E17,"Corrigez : révolution incorrecte","OK"))</f>
        <v>OK</v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 t="s">
        <v>29</v>
      </c>
      <c r="C18" s="35">
        <v>0.12959999999999999</v>
      </c>
      <c r="D18" s="36">
        <f t="shared" si="0"/>
        <v>0.20865600000000001</v>
      </c>
      <c r="E18" s="37">
        <v>69</v>
      </c>
      <c r="F18" s="38" t="str">
        <f t="array" ref="F18">IF(E18="","",IF(INDEX(A:A,MAX(IF(ISNUMBER($A$270:$A$289),ROW($A$270:$A$289),"")))&lt;&gt;E18,"Corrigez : révolution incorrecte","OK"))</f>
        <v>OK</v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8"/>
      <c r="B19" s="39" t="s">
        <v>175</v>
      </c>
      <c r="C19" s="40">
        <f>SUM(C9:C18)</f>
        <v>0.97950000000000004</v>
      </c>
      <c r="D19" s="41">
        <f>SUM(D9:D18)</f>
        <v>1.5769950000000001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9" t="s">
        <v>232</v>
      </c>
      <c r="B22" s="299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3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1" t="s">
        <v>227</v>
      </c>
      <c r="B30" s="301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3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Alisier torminal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89" t="s">
        <v>185</v>
      </c>
      <c r="C34" s="291" t="s">
        <v>186</v>
      </c>
      <c r="D34" s="291"/>
      <c r="E34" s="292" t="s">
        <v>187</v>
      </c>
      <c r="F34" s="293"/>
      <c r="G34" s="293"/>
      <c r="H34" s="294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1">
        <v>42</v>
      </c>
      <c r="C36" s="61"/>
      <c r="D36" s="61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1">
        <v>70</v>
      </c>
      <c r="C37" s="61">
        <v>1</v>
      </c>
      <c r="D37" s="61">
        <v>8</v>
      </c>
      <c r="E37" s="54"/>
      <c r="F37" s="54"/>
      <c r="G37" s="54"/>
      <c r="H37" s="54">
        <v>1</v>
      </c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1">
        <v>97</v>
      </c>
      <c r="C38" s="61"/>
      <c r="D38" s="61"/>
      <c r="E38" s="54"/>
      <c r="F38" s="54"/>
      <c r="G38" s="54"/>
      <c r="H38" s="54"/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1">
        <v>137</v>
      </c>
      <c r="C39" s="61">
        <v>2</v>
      </c>
      <c r="D39" s="61">
        <v>42</v>
      </c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1">
        <v>137</v>
      </c>
      <c r="C40" s="61"/>
      <c r="D40" s="61"/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1">
        <v>179</v>
      </c>
      <c r="C41" s="61">
        <v>3</v>
      </c>
      <c r="D41" s="61">
        <v>42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1">
        <v>178</v>
      </c>
      <c r="C42" s="61"/>
      <c r="D42" s="61"/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55</v>
      </c>
      <c r="B43" s="61">
        <v>218</v>
      </c>
      <c r="C43" s="61">
        <v>4</v>
      </c>
      <c r="D43" s="61">
        <v>42</v>
      </c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60</v>
      </c>
      <c r="B44" s="61">
        <v>214</v>
      </c>
      <c r="C44" s="61"/>
      <c r="D44" s="61"/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65</v>
      </c>
      <c r="B45" s="61">
        <v>250</v>
      </c>
      <c r="C45" s="61">
        <v>5</v>
      </c>
      <c r="D45" s="61">
        <v>42</v>
      </c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70</v>
      </c>
      <c r="B46" s="61">
        <v>242</v>
      </c>
      <c r="C46" s="61"/>
      <c r="D46" s="61"/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75</v>
      </c>
      <c r="B47" s="61">
        <v>273</v>
      </c>
      <c r="C47" s="61">
        <v>6</v>
      </c>
      <c r="D47" s="61">
        <v>42</v>
      </c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>
        <v>80</v>
      </c>
      <c r="B48" s="61">
        <v>261</v>
      </c>
      <c r="C48" s="61"/>
      <c r="D48" s="61"/>
      <c r="E48" s="54"/>
      <c r="F48" s="54"/>
      <c r="G48" s="54"/>
      <c r="H48" s="54"/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>
        <v>85</v>
      </c>
      <c r="B49" s="61">
        <v>290</v>
      </c>
      <c r="C49" s="61">
        <v>7</v>
      </c>
      <c r="D49" s="61">
        <v>42</v>
      </c>
      <c r="E49" s="54"/>
      <c r="F49" s="54"/>
      <c r="G49" s="54"/>
      <c r="H49" s="54"/>
      <c r="I49" s="52">
        <f t="shared" si="1"/>
        <v>5.8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1">
        <v>95</v>
      </c>
      <c r="B50" s="53">
        <v>300</v>
      </c>
      <c r="C50" s="53">
        <v>8</v>
      </c>
      <c r="D50" s="53">
        <v>42</v>
      </c>
      <c r="E50" s="54"/>
      <c r="F50" s="54"/>
      <c r="G50" s="54"/>
      <c r="H50" s="54"/>
      <c r="I50" s="52">
        <f t="shared" si="1"/>
        <v>5.2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1">
        <v>105</v>
      </c>
      <c r="B51" s="53">
        <v>305</v>
      </c>
      <c r="C51" s="53">
        <v>9</v>
      </c>
      <c r="D51" s="53">
        <v>41</v>
      </c>
      <c r="E51" s="54"/>
      <c r="F51" s="54"/>
      <c r="G51" s="54"/>
      <c r="H51" s="54"/>
      <c r="I51" s="52">
        <f t="shared" si="1"/>
        <v>4.7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1">
        <v>115</v>
      </c>
      <c r="B52" s="53">
        <v>304</v>
      </c>
      <c r="C52" s="53">
        <v>10</v>
      </c>
      <c r="D52" s="53">
        <v>37</v>
      </c>
      <c r="E52" s="54"/>
      <c r="F52" s="54"/>
      <c r="G52" s="54"/>
      <c r="H52" s="54"/>
      <c r="I52" s="52">
        <f t="shared" si="1"/>
        <v>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1">
        <v>125</v>
      </c>
      <c r="B53" s="53">
        <v>301</v>
      </c>
      <c r="C53" s="53">
        <v>11</v>
      </c>
      <c r="D53" s="53">
        <v>33</v>
      </c>
      <c r="E53" s="54"/>
      <c r="F53" s="54"/>
      <c r="G53" s="54"/>
      <c r="H53" s="54"/>
      <c r="I53" s="52">
        <f t="shared" si="1"/>
        <v>3.4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1">
        <v>135</v>
      </c>
      <c r="B54" s="53">
        <v>298</v>
      </c>
      <c r="C54" s="53">
        <v>12</v>
      </c>
      <c r="D54" s="53">
        <v>29</v>
      </c>
      <c r="E54" s="54"/>
      <c r="F54" s="54"/>
      <c r="G54" s="54"/>
      <c r="H54" s="54"/>
      <c r="I54" s="52">
        <f t="shared" si="1"/>
        <v>3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1">
        <v>150</v>
      </c>
      <c r="B55" s="53">
        <v>306</v>
      </c>
      <c r="C55" s="53">
        <v>13</v>
      </c>
      <c r="D55" s="53">
        <f>B55</f>
        <v>306</v>
      </c>
      <c r="E55" s="54"/>
      <c r="F55" s="54"/>
      <c r="G55" s="54"/>
      <c r="H55" s="54"/>
      <c r="I55" s="52">
        <f t="shared" si="1"/>
        <v>2.4666666666666668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Aulne glutineux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89" t="s">
        <v>185</v>
      </c>
      <c r="C60" s="291" t="s">
        <v>186</v>
      </c>
      <c r="D60" s="291"/>
      <c r="E60" s="292" t="s">
        <v>187</v>
      </c>
      <c r="F60" s="293"/>
      <c r="G60" s="293"/>
      <c r="H60" s="294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25</v>
      </c>
      <c r="B62" s="61">
        <v>61</v>
      </c>
      <c r="C62" s="61"/>
      <c r="D62" s="61"/>
      <c r="E62" s="54"/>
      <c r="F62" s="54"/>
      <c r="G62" s="54"/>
      <c r="H62" s="54"/>
      <c r="I62" s="56">
        <f>IFERROR(B62/A62,"")</f>
        <v>2.44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30</v>
      </c>
      <c r="B63" s="61">
        <v>81</v>
      </c>
      <c r="C63" s="61"/>
      <c r="D63" s="61"/>
      <c r="E63" s="54"/>
      <c r="F63" s="54"/>
      <c r="G63" s="54"/>
      <c r="H63" s="54"/>
      <c r="I63" s="52">
        <f>IF(A63&lt;&gt;0,(B63-(B62-D62))/(A63-A62),"")</f>
        <v>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40</v>
      </c>
      <c r="B64" s="61">
        <v>113</v>
      </c>
      <c r="C64" s="61"/>
      <c r="D64" s="61"/>
      <c r="E64" s="54"/>
      <c r="F64" s="54"/>
      <c r="G64" s="54"/>
      <c r="H64" s="54"/>
      <c r="I64" s="52">
        <f>IF(A64&lt;&gt;0,(B64-(B63-D63))/(A64-A63),"")</f>
        <v>3.2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50</v>
      </c>
      <c r="B65" s="61">
        <v>138</v>
      </c>
      <c r="C65" s="61"/>
      <c r="D65" s="61"/>
      <c r="E65" s="54"/>
      <c r="F65" s="54"/>
      <c r="G65" s="54"/>
      <c r="H65" s="54"/>
      <c r="I65" s="52">
        <f>IF(A65&lt;&gt;0,(B65-(B64-D64))/(A65-A64),"")</f>
        <v>2.5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60</v>
      </c>
      <c r="B66" s="61">
        <v>156</v>
      </c>
      <c r="C66" s="61"/>
      <c r="D66" s="61"/>
      <c r="E66" s="54"/>
      <c r="F66" s="54"/>
      <c r="G66" s="54"/>
      <c r="H66" s="54"/>
      <c r="I66" s="52">
        <f t="shared" ref="I66:I81" si="2">IF(A66&lt;&gt;0,(B66-(B65-D65))/(A66-A65),"")</f>
        <v>1.8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80</v>
      </c>
      <c r="B67" s="61">
        <v>179</v>
      </c>
      <c r="C67" s="61">
        <v>1</v>
      </c>
      <c r="D67" s="61">
        <f>B67</f>
        <v>179</v>
      </c>
      <c r="E67" s="54"/>
      <c r="F67" s="54"/>
      <c r="G67" s="54"/>
      <c r="H67" s="54"/>
      <c r="I67" s="52">
        <f t="shared" si="2"/>
        <v>1.1499999999999999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1"/>
      <c r="C68" s="61"/>
      <c r="D68" s="61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Bouleau verruqueux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89" t="s">
        <v>185</v>
      </c>
      <c r="C86" s="291" t="s">
        <v>186</v>
      </c>
      <c r="D86" s="291"/>
      <c r="E86" s="292" t="s">
        <v>187</v>
      </c>
      <c r="F86" s="293"/>
      <c r="G86" s="293"/>
      <c r="H86" s="294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10</v>
      </c>
      <c r="B88" s="61">
        <v>9</v>
      </c>
      <c r="C88" s="61"/>
      <c r="D88" s="61"/>
      <c r="E88" s="54"/>
      <c r="F88" s="54"/>
      <c r="G88" s="54"/>
      <c r="H88" s="91"/>
      <c r="I88" s="56">
        <f>IFERROR(B88/A88,"")</f>
        <v>0.9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15</v>
      </c>
      <c r="B89" s="61">
        <v>49</v>
      </c>
      <c r="C89" s="61"/>
      <c r="D89" s="61"/>
      <c r="E89" s="54"/>
      <c r="F89" s="54"/>
      <c r="G89" s="54"/>
      <c r="H89" s="91"/>
      <c r="I89" s="56">
        <f t="shared" ref="I89:I107" si="3">IF(A89&lt;&gt;0,(B89-(B88-D88))/(A89-A88),"")</f>
        <v>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20</v>
      </c>
      <c r="B90" s="61">
        <v>99</v>
      </c>
      <c r="C90" s="61">
        <v>1</v>
      </c>
      <c r="D90" s="61">
        <f>99-59</f>
        <v>40</v>
      </c>
      <c r="E90" s="91"/>
      <c r="F90" s="91"/>
      <c r="G90" s="91"/>
      <c r="H90" s="91">
        <v>1</v>
      </c>
      <c r="I90" s="56">
        <f t="shared" si="3"/>
        <v>10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25</v>
      </c>
      <c r="B91" s="61">
        <v>102</v>
      </c>
      <c r="C91" s="61"/>
      <c r="D91" s="61"/>
      <c r="E91" s="91"/>
      <c r="F91" s="91"/>
      <c r="G91" s="91"/>
      <c r="H91" s="91"/>
      <c r="I91" s="56">
        <f t="shared" si="3"/>
        <v>8.6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30</v>
      </c>
      <c r="B92" s="61">
        <v>146</v>
      </c>
      <c r="C92" s="61"/>
      <c r="D92" s="61"/>
      <c r="E92" s="91"/>
      <c r="F92" s="91"/>
      <c r="G92" s="91"/>
      <c r="H92" s="91"/>
      <c r="I92" s="56">
        <f t="shared" si="3"/>
        <v>8.8000000000000007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35</v>
      </c>
      <c r="B93" s="61">
        <v>190</v>
      </c>
      <c r="C93" s="61">
        <v>2</v>
      </c>
      <c r="D93" s="61">
        <v>76</v>
      </c>
      <c r="E93" s="91"/>
      <c r="F93" s="91"/>
      <c r="G93" s="91"/>
      <c r="H93" s="91"/>
      <c r="I93" s="56">
        <f t="shared" si="3"/>
        <v>8.8000000000000007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40</v>
      </c>
      <c r="B94" s="61">
        <v>152</v>
      </c>
      <c r="C94" s="61"/>
      <c r="D94" s="61"/>
      <c r="E94" s="91"/>
      <c r="F94" s="91"/>
      <c r="G94" s="91"/>
      <c r="H94" s="91"/>
      <c r="I94" s="56">
        <f t="shared" si="3"/>
        <v>7.6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45</v>
      </c>
      <c r="B95" s="61">
        <v>190</v>
      </c>
      <c r="C95" s="61"/>
      <c r="D95" s="61"/>
      <c r="E95" s="91"/>
      <c r="F95" s="91"/>
      <c r="G95" s="91"/>
      <c r="H95" s="91"/>
      <c r="I95" s="56">
        <f t="shared" si="3"/>
        <v>7.6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50</v>
      </c>
      <c r="B96" s="61">
        <v>228</v>
      </c>
      <c r="C96" s="61"/>
      <c r="D96" s="61"/>
      <c r="E96" s="91"/>
      <c r="F96" s="91"/>
      <c r="G96" s="91"/>
      <c r="H96" s="91"/>
      <c r="I96" s="56">
        <f t="shared" si="3"/>
        <v>7.6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55</v>
      </c>
      <c r="B97" s="61">
        <v>266</v>
      </c>
      <c r="C97" s="61"/>
      <c r="D97" s="61"/>
      <c r="E97" s="91"/>
      <c r="F97" s="91"/>
      <c r="G97" s="91"/>
      <c r="H97" s="91"/>
      <c r="I97" s="56">
        <f t="shared" si="3"/>
        <v>7.6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60</v>
      </c>
      <c r="B98" s="61">
        <v>303</v>
      </c>
      <c r="C98" s="61">
        <v>3</v>
      </c>
      <c r="D98" s="61">
        <v>303</v>
      </c>
      <c r="E98" s="91"/>
      <c r="F98" s="91"/>
      <c r="G98" s="91"/>
      <c r="H98" s="91"/>
      <c r="I98" s="56">
        <f t="shared" si="3"/>
        <v>7.4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1"/>
      <c r="B99" s="61"/>
      <c r="C99" s="61"/>
      <c r="D99" s="61"/>
      <c r="E99" s="91"/>
      <c r="F99" s="91"/>
      <c r="G99" s="91"/>
      <c r="H99" s="91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1"/>
      <c r="B100" s="61"/>
      <c r="C100" s="61"/>
      <c r="D100" s="61"/>
      <c r="E100" s="66"/>
      <c r="F100" s="66"/>
      <c r="G100" s="66"/>
      <c r="H100" s="66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1"/>
      <c r="B101" s="61"/>
      <c r="C101" s="61"/>
      <c r="D101" s="61"/>
      <c r="E101" s="66"/>
      <c r="F101" s="66"/>
      <c r="G101" s="66"/>
      <c r="H101" s="66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1"/>
      <c r="B102" s="53"/>
      <c r="C102" s="61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1"/>
      <c r="B103" s="53"/>
      <c r="C103" s="61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1"/>
      <c r="B104" s="53"/>
      <c r="C104" s="61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Charme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89" t="s">
        <v>185</v>
      </c>
      <c r="C112" s="291" t="s">
        <v>186</v>
      </c>
      <c r="D112" s="291"/>
      <c r="E112" s="292" t="s">
        <v>187</v>
      </c>
      <c r="F112" s="293"/>
      <c r="G112" s="293"/>
      <c r="H112" s="294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15</v>
      </c>
      <c r="B114" s="61">
        <v>33.974358974358971</v>
      </c>
      <c r="C114" s="53"/>
      <c r="D114" s="61"/>
      <c r="E114" s="54"/>
      <c r="F114" s="54"/>
      <c r="G114" s="54"/>
      <c r="H114" s="54"/>
      <c r="I114" s="56">
        <f>IFERROR(B114/A114,"")</f>
        <v>2.2649572649572649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20</v>
      </c>
      <c r="B115" s="61">
        <v>63.46153846153846</v>
      </c>
      <c r="C115" s="53"/>
      <c r="D115" s="61"/>
      <c r="E115" s="54"/>
      <c r="F115" s="54"/>
      <c r="G115" s="54"/>
      <c r="H115" s="54"/>
      <c r="I115" s="56">
        <f t="shared" ref="I115:I133" si="4">IF(A115&lt;&gt;0,(B115-(B114-D114))/(A115-A114),"")</f>
        <v>5.8974358974358978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25</v>
      </c>
      <c r="B116" s="61">
        <v>94.230769230769226</v>
      </c>
      <c r="C116" s="53">
        <v>1</v>
      </c>
      <c r="D116" s="61">
        <v>26.923076923076923</v>
      </c>
      <c r="E116" s="54"/>
      <c r="F116" s="54"/>
      <c r="G116" s="54"/>
      <c r="H116" s="54">
        <v>1</v>
      </c>
      <c r="I116" s="56">
        <f t="shared" si="4"/>
        <v>6.1538461538461533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30</v>
      </c>
      <c r="B117" s="61">
        <v>98.717948717948715</v>
      </c>
      <c r="C117" s="53"/>
      <c r="D117" s="61"/>
      <c r="E117" s="54"/>
      <c r="F117" s="54"/>
      <c r="G117" s="54"/>
      <c r="H117" s="54"/>
      <c r="I117" s="56">
        <f t="shared" si="4"/>
        <v>6.2820512820512819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35</v>
      </c>
      <c r="B118" s="61">
        <v>129.48717948717947</v>
      </c>
      <c r="C118" s="53">
        <v>2</v>
      </c>
      <c r="D118" s="61">
        <v>26.282051282051281</v>
      </c>
      <c r="E118" s="54"/>
      <c r="F118" s="54"/>
      <c r="G118" s="54"/>
      <c r="H118" s="54"/>
      <c r="I118" s="56">
        <f t="shared" si="4"/>
        <v>6.1538461538461515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40</v>
      </c>
      <c r="B119" s="61">
        <v>132.05128205128204</v>
      </c>
      <c r="C119" s="53"/>
      <c r="D119" s="61"/>
      <c r="E119" s="54"/>
      <c r="F119" s="54"/>
      <c r="G119" s="54"/>
      <c r="H119" s="54"/>
      <c r="I119" s="56">
        <f t="shared" si="4"/>
        <v>5.7692307692307709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45</v>
      </c>
      <c r="B120" s="61">
        <v>160.25641025641025</v>
      </c>
      <c r="C120" s="61">
        <v>3</v>
      </c>
      <c r="D120" s="61">
        <v>28.205128205128204</v>
      </c>
      <c r="E120" s="91"/>
      <c r="F120" s="91"/>
      <c r="G120" s="91"/>
      <c r="H120" s="91"/>
      <c r="I120" s="56">
        <f t="shared" si="4"/>
        <v>5.6410256410256405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>
        <v>50</v>
      </c>
      <c r="B121" s="61">
        <v>158.33333333333331</v>
      </c>
      <c r="C121" s="61"/>
      <c r="D121" s="61"/>
      <c r="E121" s="91"/>
      <c r="F121" s="91"/>
      <c r="G121" s="91"/>
      <c r="H121" s="91"/>
      <c r="I121" s="56">
        <f t="shared" si="4"/>
        <v>5.2564102564102537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>
        <v>55</v>
      </c>
      <c r="B122" s="61">
        <v>182.69230769230768</v>
      </c>
      <c r="C122" s="61">
        <v>4</v>
      </c>
      <c r="D122" s="61">
        <v>28.205128205128204</v>
      </c>
      <c r="E122" s="91"/>
      <c r="F122" s="91"/>
      <c r="G122" s="91"/>
      <c r="H122" s="91"/>
      <c r="I122" s="56">
        <f t="shared" si="4"/>
        <v>4.8717948717948731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>
        <v>60</v>
      </c>
      <c r="B123" s="61">
        <v>178.2051282051282</v>
      </c>
      <c r="C123" s="61"/>
      <c r="D123" s="61"/>
      <c r="E123" s="91"/>
      <c r="F123" s="91"/>
      <c r="G123" s="91"/>
      <c r="H123" s="91"/>
      <c r="I123" s="56">
        <f t="shared" si="4"/>
        <v>4.7435897435897463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>
        <v>65</v>
      </c>
      <c r="B124" s="61">
        <v>200.64102564102564</v>
      </c>
      <c r="C124" s="61">
        <v>5</v>
      </c>
      <c r="D124" s="61">
        <v>28.205128205128204</v>
      </c>
      <c r="E124" s="91"/>
      <c r="F124" s="91"/>
      <c r="G124" s="91"/>
      <c r="H124" s="91"/>
      <c r="I124" s="56">
        <f t="shared" si="4"/>
        <v>4.4871794871794863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3">
        <v>70</v>
      </c>
      <c r="B125" s="61">
        <v>194.23076923076923</v>
      </c>
      <c r="C125" s="61"/>
      <c r="D125" s="61"/>
      <c r="E125" s="91"/>
      <c r="F125" s="91"/>
      <c r="G125" s="91"/>
      <c r="H125" s="91"/>
      <c r="I125" s="56">
        <f t="shared" si="4"/>
        <v>4.3589743589743595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3">
        <v>75</v>
      </c>
      <c r="B126" s="61">
        <v>214.10256410256409</v>
      </c>
      <c r="C126" s="61">
        <v>6</v>
      </c>
      <c r="D126" s="61">
        <v>26.923076923076923</v>
      </c>
      <c r="E126" s="66"/>
      <c r="F126" s="66"/>
      <c r="G126" s="66"/>
      <c r="H126" s="66"/>
      <c r="I126" s="56">
        <f t="shared" si="4"/>
        <v>3.9743589743589722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53">
        <v>80</v>
      </c>
      <c r="B127" s="61">
        <v>206.41025641025641</v>
      </c>
      <c r="C127" s="61"/>
      <c r="D127" s="61"/>
      <c r="E127" s="66"/>
      <c r="F127" s="66"/>
      <c r="G127" s="66"/>
      <c r="H127" s="66"/>
      <c r="I127" s="56">
        <f t="shared" si="4"/>
        <v>3.8461538461538511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>
        <v>85</v>
      </c>
      <c r="B128" s="53">
        <v>225</v>
      </c>
      <c r="C128" s="53">
        <v>7</v>
      </c>
      <c r="D128" s="53">
        <v>25.641025641025639</v>
      </c>
      <c r="E128" s="57"/>
      <c r="F128" s="57"/>
      <c r="G128" s="57"/>
      <c r="H128" s="57"/>
      <c r="I128" s="56">
        <f t="shared" si="4"/>
        <v>3.7179487179487181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>
        <v>90</v>
      </c>
      <c r="B129" s="53">
        <v>217.30769230769229</v>
      </c>
      <c r="C129" s="53"/>
      <c r="D129" s="53"/>
      <c r="E129" s="57"/>
      <c r="F129" s="57"/>
      <c r="G129" s="57"/>
      <c r="H129" s="57"/>
      <c r="I129" s="56">
        <f t="shared" si="4"/>
        <v>3.5897435897435854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>
        <v>95</v>
      </c>
      <c r="B130" s="53">
        <v>233.97435897435898</v>
      </c>
      <c r="C130" s="53">
        <v>8</v>
      </c>
      <c r="D130" s="53">
        <v>23.717948717948715</v>
      </c>
      <c r="E130" s="57"/>
      <c r="F130" s="57"/>
      <c r="G130" s="57"/>
      <c r="H130" s="57"/>
      <c r="I130" s="56">
        <f t="shared" si="4"/>
        <v>3.333333333333337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>
        <v>100</v>
      </c>
      <c r="B131" s="53">
        <v>226.28205128205127</v>
      </c>
      <c r="C131" s="53"/>
      <c r="D131" s="53"/>
      <c r="E131" s="57"/>
      <c r="F131" s="57"/>
      <c r="G131" s="57"/>
      <c r="H131" s="57"/>
      <c r="I131" s="56">
        <f t="shared" si="4"/>
        <v>3.2051282051281986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>
        <v>105</v>
      </c>
      <c r="B132" s="53">
        <v>242.30769230769229</v>
      </c>
      <c r="C132" s="53">
        <v>9</v>
      </c>
      <c r="D132" s="53">
        <v>22.435897435897434</v>
      </c>
      <c r="E132" s="57"/>
      <c r="F132" s="57"/>
      <c r="G132" s="57"/>
      <c r="H132" s="57"/>
      <c r="I132" s="56">
        <f t="shared" si="4"/>
        <v>3.2051282051282044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>
        <v>120</v>
      </c>
      <c r="B133" s="53">
        <v>262.17948717948718</v>
      </c>
      <c r="C133" s="53">
        <v>10</v>
      </c>
      <c r="D133" s="53">
        <f>B133</f>
        <v>262.17948717948718</v>
      </c>
      <c r="E133" s="57"/>
      <c r="F133" s="57"/>
      <c r="G133" s="57"/>
      <c r="H133" s="57"/>
      <c r="I133" s="56">
        <f t="shared" si="4"/>
        <v>2.8205128205128216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Chêne pédonculé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89" t="s">
        <v>185</v>
      </c>
      <c r="C138" s="291" t="s">
        <v>186</v>
      </c>
      <c r="D138" s="291"/>
      <c r="E138" s="292" t="s">
        <v>187</v>
      </c>
      <c r="F138" s="293"/>
      <c r="G138" s="293"/>
      <c r="H138" s="294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20</v>
      </c>
      <c r="B140" s="61">
        <v>42</v>
      </c>
      <c r="C140" s="61"/>
      <c r="D140" s="61"/>
      <c r="E140" s="54"/>
      <c r="F140" s="54"/>
      <c r="G140" s="54"/>
      <c r="H140" s="54"/>
      <c r="I140" s="59">
        <f>IFERROR(B140/A140,"")</f>
        <v>2.1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25</v>
      </c>
      <c r="B141" s="61">
        <v>70</v>
      </c>
      <c r="C141" s="61">
        <v>1</v>
      </c>
      <c r="D141" s="61">
        <v>8</v>
      </c>
      <c r="E141" s="54"/>
      <c r="F141" s="54"/>
      <c r="G141" s="54"/>
      <c r="H141" s="54">
        <v>1</v>
      </c>
      <c r="I141" s="59">
        <f t="shared" ref="I141:I159" si="5">IF(A141&lt;&gt;0,(B141-(B140-D140))/(A141-A140),"")</f>
        <v>5.6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30</v>
      </c>
      <c r="B142" s="61">
        <v>97</v>
      </c>
      <c r="C142" s="61"/>
      <c r="D142" s="61"/>
      <c r="E142" s="54"/>
      <c r="F142" s="54"/>
      <c r="G142" s="54"/>
      <c r="H142" s="54"/>
      <c r="I142" s="59">
        <f t="shared" si="5"/>
        <v>7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35</v>
      </c>
      <c r="B143" s="61">
        <v>137</v>
      </c>
      <c r="C143" s="61">
        <v>2</v>
      </c>
      <c r="D143" s="61">
        <v>42</v>
      </c>
      <c r="E143" s="54"/>
      <c r="F143" s="54"/>
      <c r="G143" s="54"/>
      <c r="H143" s="54"/>
      <c r="I143" s="59">
        <f t="shared" si="5"/>
        <v>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40</v>
      </c>
      <c r="B144" s="61">
        <v>137</v>
      </c>
      <c r="C144" s="61"/>
      <c r="D144" s="61"/>
      <c r="E144" s="54"/>
      <c r="F144" s="54"/>
      <c r="G144" s="54"/>
      <c r="H144" s="54"/>
      <c r="I144" s="59">
        <f t="shared" si="5"/>
        <v>8.4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45</v>
      </c>
      <c r="B145" s="61">
        <v>179</v>
      </c>
      <c r="C145" s="61">
        <v>3</v>
      </c>
      <c r="D145" s="61">
        <v>42</v>
      </c>
      <c r="E145" s="54"/>
      <c r="F145" s="54"/>
      <c r="G145" s="54"/>
      <c r="H145" s="54"/>
      <c r="I145" s="59">
        <f t="shared" si="5"/>
        <v>8.4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50</v>
      </c>
      <c r="B146" s="61">
        <v>178</v>
      </c>
      <c r="C146" s="61"/>
      <c r="D146" s="61"/>
      <c r="E146" s="54"/>
      <c r="F146" s="54"/>
      <c r="G146" s="54"/>
      <c r="H146" s="54"/>
      <c r="I146" s="59">
        <f t="shared" si="5"/>
        <v>8.1999999999999993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55</v>
      </c>
      <c r="B147" s="61">
        <v>218</v>
      </c>
      <c r="C147" s="61">
        <v>4</v>
      </c>
      <c r="D147" s="61">
        <v>42</v>
      </c>
      <c r="E147" s="54"/>
      <c r="F147" s="54"/>
      <c r="G147" s="54"/>
      <c r="H147" s="54"/>
      <c r="I147" s="59">
        <f>IF(A147&lt;&gt;0,(B147-(B146-D146))/(A147-A146),"")</f>
        <v>8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60</v>
      </c>
      <c r="B148" s="61">
        <v>214</v>
      </c>
      <c r="C148" s="61"/>
      <c r="D148" s="61"/>
      <c r="E148" s="54"/>
      <c r="F148" s="54"/>
      <c r="G148" s="54"/>
      <c r="H148" s="54"/>
      <c r="I148" s="59">
        <f t="shared" si="5"/>
        <v>7.6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65</v>
      </c>
      <c r="B149" s="61">
        <v>250</v>
      </c>
      <c r="C149" s="61">
        <v>5</v>
      </c>
      <c r="D149" s="61">
        <v>42</v>
      </c>
      <c r="E149" s="54"/>
      <c r="F149" s="54"/>
      <c r="G149" s="54"/>
      <c r="H149" s="54"/>
      <c r="I149" s="59">
        <f t="shared" si="5"/>
        <v>7.2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70</v>
      </c>
      <c r="B150" s="61">
        <v>242</v>
      </c>
      <c r="C150" s="61"/>
      <c r="D150" s="61"/>
      <c r="E150" s="54"/>
      <c r="F150" s="54"/>
      <c r="G150" s="54"/>
      <c r="H150" s="54"/>
      <c r="I150" s="59">
        <f t="shared" si="5"/>
        <v>6.8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>
        <v>75</v>
      </c>
      <c r="B151" s="61">
        <v>273</v>
      </c>
      <c r="C151" s="61">
        <v>6</v>
      </c>
      <c r="D151" s="61">
        <v>42</v>
      </c>
      <c r="E151" s="54"/>
      <c r="F151" s="54"/>
      <c r="G151" s="54"/>
      <c r="H151" s="54"/>
      <c r="I151" s="59">
        <f t="shared" si="5"/>
        <v>6.2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>
        <v>80</v>
      </c>
      <c r="B152" s="61">
        <v>261</v>
      </c>
      <c r="C152" s="61"/>
      <c r="D152" s="61"/>
      <c r="E152" s="57"/>
      <c r="F152" s="57"/>
      <c r="G152" s="57"/>
      <c r="H152" s="57"/>
      <c r="I152" s="59">
        <f t="shared" si="5"/>
        <v>6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>
        <v>85</v>
      </c>
      <c r="B153" s="61">
        <v>290</v>
      </c>
      <c r="C153" s="61">
        <v>7</v>
      </c>
      <c r="D153" s="61">
        <v>42</v>
      </c>
      <c r="E153" s="57"/>
      <c r="F153" s="57"/>
      <c r="G153" s="57"/>
      <c r="H153" s="57"/>
      <c r="I153" s="59">
        <f t="shared" si="5"/>
        <v>5.8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281">
        <v>95</v>
      </c>
      <c r="B154" s="53">
        <v>300</v>
      </c>
      <c r="C154" s="53">
        <v>8</v>
      </c>
      <c r="D154" s="53">
        <v>42</v>
      </c>
      <c r="E154" s="57"/>
      <c r="F154" s="57"/>
      <c r="G154" s="57"/>
      <c r="H154" s="57"/>
      <c r="I154" s="59">
        <f t="shared" si="5"/>
        <v>5.2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281">
        <v>105</v>
      </c>
      <c r="B155" s="53">
        <v>305</v>
      </c>
      <c r="C155" s="53">
        <v>9</v>
      </c>
      <c r="D155" s="53">
        <v>41</v>
      </c>
      <c r="E155" s="57"/>
      <c r="F155" s="57"/>
      <c r="G155" s="57"/>
      <c r="H155" s="57"/>
      <c r="I155" s="59">
        <f t="shared" si="5"/>
        <v>4.7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281">
        <v>115</v>
      </c>
      <c r="B156" s="53">
        <v>304</v>
      </c>
      <c r="C156" s="53">
        <v>10</v>
      </c>
      <c r="D156" s="53">
        <v>37</v>
      </c>
      <c r="E156" s="57"/>
      <c r="F156" s="57"/>
      <c r="G156" s="57"/>
      <c r="H156" s="57"/>
      <c r="I156" s="59">
        <f t="shared" si="5"/>
        <v>4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281">
        <v>125</v>
      </c>
      <c r="B157" s="53">
        <v>301</v>
      </c>
      <c r="C157" s="53">
        <v>11</v>
      </c>
      <c r="D157" s="53">
        <v>33</v>
      </c>
      <c r="E157" s="57"/>
      <c r="F157" s="57"/>
      <c r="G157" s="57"/>
      <c r="H157" s="57"/>
      <c r="I157" s="59">
        <f t="shared" si="5"/>
        <v>3.4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281">
        <v>135</v>
      </c>
      <c r="B158" s="53">
        <v>298</v>
      </c>
      <c r="C158" s="53">
        <v>12</v>
      </c>
      <c r="D158" s="53">
        <v>29</v>
      </c>
      <c r="E158" s="57"/>
      <c r="F158" s="57"/>
      <c r="G158" s="57"/>
      <c r="H158" s="57"/>
      <c r="I158" s="59">
        <f t="shared" si="5"/>
        <v>3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281">
        <v>150</v>
      </c>
      <c r="B159" s="53">
        <v>306</v>
      </c>
      <c r="C159" s="53">
        <v>13</v>
      </c>
      <c r="D159" s="53">
        <v>306</v>
      </c>
      <c r="E159" s="57"/>
      <c r="F159" s="57"/>
      <c r="G159" s="57"/>
      <c r="H159" s="57"/>
      <c r="I159" s="59">
        <f t="shared" si="5"/>
        <v>2.4666666666666668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Erable sycomore</v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89" t="s">
        <v>185</v>
      </c>
      <c r="C164" s="291" t="s">
        <v>186</v>
      </c>
      <c r="D164" s="291"/>
      <c r="E164" s="292" t="s">
        <v>187</v>
      </c>
      <c r="F164" s="293"/>
      <c r="G164" s="293"/>
      <c r="H164" s="294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15</v>
      </c>
      <c r="B166" s="61">
        <v>37.4</v>
      </c>
      <c r="C166" s="61"/>
      <c r="D166" s="61"/>
      <c r="E166" s="54"/>
      <c r="F166" s="54"/>
      <c r="G166" s="54"/>
      <c r="H166" s="54"/>
      <c r="I166" s="52">
        <f>IFERROR(B166/A166,"")</f>
        <v>2.4933333333333332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20</v>
      </c>
      <c r="B167" s="61">
        <v>95.1</v>
      </c>
      <c r="C167" s="61"/>
      <c r="D167" s="61"/>
      <c r="E167" s="54"/>
      <c r="F167" s="54"/>
      <c r="G167" s="54"/>
      <c r="H167" s="54"/>
      <c r="I167" s="52">
        <f t="shared" ref="I167:I185" si="6">IF(A167&lt;&gt;0,(B167-(B166-D166))/(A167-A166),"")</f>
        <v>11.54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25</v>
      </c>
      <c r="B168" s="61">
        <v>157.6</v>
      </c>
      <c r="C168" s="61">
        <v>1</v>
      </c>
      <c r="D168" s="61">
        <v>71.099999999999994</v>
      </c>
      <c r="E168" s="54"/>
      <c r="F168" s="54"/>
      <c r="G168" s="54"/>
      <c r="H168" s="54">
        <v>1</v>
      </c>
      <c r="I168" s="52">
        <f t="shared" si="6"/>
        <v>12.5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30</v>
      </c>
      <c r="B169" s="61">
        <v>146.5</v>
      </c>
      <c r="C169" s="61"/>
      <c r="D169" s="61"/>
      <c r="E169" s="54"/>
      <c r="F169" s="54"/>
      <c r="G169" s="54"/>
      <c r="H169" s="54"/>
      <c r="I169" s="52">
        <f t="shared" si="6"/>
        <v>12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35</v>
      </c>
      <c r="B170" s="61">
        <v>200.4</v>
      </c>
      <c r="C170" s="61">
        <v>2</v>
      </c>
      <c r="D170" s="61">
        <v>56</v>
      </c>
      <c r="E170" s="54"/>
      <c r="F170" s="54"/>
      <c r="G170" s="54"/>
      <c r="H170" s="54"/>
      <c r="I170" s="52">
        <f t="shared" si="6"/>
        <v>10.780000000000001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40</v>
      </c>
      <c r="B171" s="61">
        <v>191.6</v>
      </c>
      <c r="C171" s="61"/>
      <c r="D171" s="61"/>
      <c r="E171" s="54"/>
      <c r="F171" s="54"/>
      <c r="G171" s="54"/>
      <c r="H171" s="54"/>
      <c r="I171" s="52">
        <f t="shared" si="6"/>
        <v>9.4399999999999977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45</v>
      </c>
      <c r="B172" s="61">
        <v>232.60000000000002</v>
      </c>
      <c r="C172" s="61">
        <v>3</v>
      </c>
      <c r="D172" s="61">
        <v>49.8</v>
      </c>
      <c r="E172" s="54"/>
      <c r="F172" s="54"/>
      <c r="G172" s="54"/>
      <c r="H172" s="54"/>
      <c r="I172" s="52">
        <f t="shared" si="6"/>
        <v>8.2000000000000064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50</v>
      </c>
      <c r="B173" s="53">
        <v>218.4</v>
      </c>
      <c r="C173" s="53"/>
      <c r="D173" s="53"/>
      <c r="E173" s="54"/>
      <c r="F173" s="54"/>
      <c r="G173" s="54"/>
      <c r="H173" s="54"/>
      <c r="I173" s="52">
        <f t="shared" si="6"/>
        <v>7.1199999999999992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55</v>
      </c>
      <c r="B174" s="53">
        <v>249</v>
      </c>
      <c r="C174" s="53">
        <v>4</v>
      </c>
      <c r="D174" s="53">
        <v>29.9</v>
      </c>
      <c r="E174" s="54"/>
      <c r="F174" s="54"/>
      <c r="G174" s="54"/>
      <c r="H174" s="54"/>
      <c r="I174" s="52">
        <f t="shared" si="6"/>
        <v>6.1199999999999992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>
        <v>60</v>
      </c>
      <c r="B175" s="53">
        <v>244.9</v>
      </c>
      <c r="C175" s="53"/>
      <c r="D175" s="53"/>
      <c r="E175" s="54"/>
      <c r="F175" s="54"/>
      <c r="G175" s="54"/>
      <c r="H175" s="54"/>
      <c r="I175" s="52">
        <f t="shared" si="6"/>
        <v>5.1600000000000019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>
        <v>65</v>
      </c>
      <c r="B176" s="53">
        <v>266.60000000000002</v>
      </c>
      <c r="C176" s="53">
        <v>5</v>
      </c>
      <c r="D176" s="53">
        <v>22.700000000000003</v>
      </c>
      <c r="E176" s="54"/>
      <c r="F176" s="54"/>
      <c r="G176" s="54"/>
      <c r="H176" s="54"/>
      <c r="I176" s="52">
        <f t="shared" si="6"/>
        <v>4.3400000000000034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>
        <v>70</v>
      </c>
      <c r="B177" s="53">
        <v>262.7</v>
      </c>
      <c r="C177" s="53"/>
      <c r="D177" s="53"/>
      <c r="E177" s="54"/>
      <c r="F177" s="54"/>
      <c r="G177" s="54"/>
      <c r="H177" s="54"/>
      <c r="I177" s="52">
        <f t="shared" si="6"/>
        <v>3.7599999999999909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>
        <v>75</v>
      </c>
      <c r="B178" s="53">
        <v>279.70000000000005</v>
      </c>
      <c r="C178" s="53"/>
      <c r="D178" s="53"/>
      <c r="E178" s="54"/>
      <c r="F178" s="54"/>
      <c r="G178" s="54"/>
      <c r="H178" s="54"/>
      <c r="I178" s="52">
        <f t="shared" si="6"/>
        <v>3.4000000000000115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>
        <v>80</v>
      </c>
      <c r="B179" s="53">
        <v>294.60000000000002</v>
      </c>
      <c r="C179" s="53">
        <v>6</v>
      </c>
      <c r="D179" s="53">
        <f>B179</f>
        <v>294.60000000000002</v>
      </c>
      <c r="E179" s="54"/>
      <c r="F179" s="54"/>
      <c r="G179" s="54"/>
      <c r="H179" s="54"/>
      <c r="I179" s="52">
        <f t="shared" si="6"/>
        <v>2.9799999999999955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Erable plane</v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89" t="s">
        <v>185</v>
      </c>
      <c r="C190" s="291" t="s">
        <v>186</v>
      </c>
      <c r="D190" s="291"/>
      <c r="E190" s="292" t="s">
        <v>187</v>
      </c>
      <c r="F190" s="293"/>
      <c r="G190" s="293"/>
      <c r="H190" s="294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15</v>
      </c>
      <c r="B192" s="61">
        <v>8.9</v>
      </c>
      <c r="C192" s="61"/>
      <c r="D192" s="61"/>
      <c r="E192" s="54"/>
      <c r="F192" s="54"/>
      <c r="G192" s="54"/>
      <c r="H192" s="54"/>
      <c r="I192" s="52">
        <f>IFERROR(B192/A192,"")</f>
        <v>0.59333333333333338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20</v>
      </c>
      <c r="B193" s="61">
        <v>56.7</v>
      </c>
      <c r="C193" s="61"/>
      <c r="D193" s="61"/>
      <c r="E193" s="54"/>
      <c r="F193" s="54"/>
      <c r="G193" s="54"/>
      <c r="H193" s="54"/>
      <c r="I193" s="52">
        <f t="shared" ref="I193:I211" si="7">IF(A193&lt;&gt;0,(B193-(B192-D192))/(A193-A192),"")</f>
        <v>9.56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25</v>
      </c>
      <c r="B194" s="61">
        <v>107.3</v>
      </c>
      <c r="C194" s="61">
        <v>1</v>
      </c>
      <c r="D194" s="61">
        <v>42</v>
      </c>
      <c r="E194" s="54"/>
      <c r="F194" s="54"/>
      <c r="G194" s="54"/>
      <c r="H194" s="54">
        <v>1</v>
      </c>
      <c r="I194" s="52">
        <f t="shared" si="7"/>
        <v>10.119999999999999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30</v>
      </c>
      <c r="B195" s="61">
        <v>113.5</v>
      </c>
      <c r="C195" s="61"/>
      <c r="D195" s="61"/>
      <c r="E195" s="54"/>
      <c r="F195" s="54"/>
      <c r="G195" s="54"/>
      <c r="H195" s="54"/>
      <c r="I195" s="52">
        <f t="shared" si="7"/>
        <v>9.64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35</v>
      </c>
      <c r="B196" s="61">
        <v>157.1</v>
      </c>
      <c r="C196" s="61">
        <v>2</v>
      </c>
      <c r="D196" s="61">
        <v>42</v>
      </c>
      <c r="E196" s="54"/>
      <c r="F196" s="54"/>
      <c r="G196" s="54"/>
      <c r="H196" s="54"/>
      <c r="I196" s="52">
        <f t="shared" si="7"/>
        <v>8.7199999999999989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40</v>
      </c>
      <c r="B197" s="61">
        <v>153</v>
      </c>
      <c r="C197" s="61"/>
      <c r="D197" s="61"/>
      <c r="E197" s="54"/>
      <c r="F197" s="54"/>
      <c r="G197" s="54"/>
      <c r="H197" s="54"/>
      <c r="I197" s="52">
        <f t="shared" si="7"/>
        <v>7.580000000000001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>
        <v>45</v>
      </c>
      <c r="B198" s="61">
        <v>185.60000000000002</v>
      </c>
      <c r="C198" s="61">
        <v>3</v>
      </c>
      <c r="D198" s="61">
        <v>39.299999999999997</v>
      </c>
      <c r="E198" s="54"/>
      <c r="F198" s="54"/>
      <c r="G198" s="54"/>
      <c r="H198" s="54"/>
      <c r="I198" s="52">
        <f t="shared" si="7"/>
        <v>6.5200000000000049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>
        <v>50</v>
      </c>
      <c r="B199" s="53">
        <v>174.20000000000002</v>
      </c>
      <c r="C199" s="53"/>
      <c r="D199" s="53"/>
      <c r="E199" s="54"/>
      <c r="F199" s="54"/>
      <c r="G199" s="54"/>
      <c r="H199" s="54"/>
      <c r="I199" s="52">
        <f t="shared" si="7"/>
        <v>5.580000000000001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>
        <v>55</v>
      </c>
      <c r="B200" s="53">
        <v>198</v>
      </c>
      <c r="C200" s="53">
        <v>4</v>
      </c>
      <c r="D200" s="53">
        <v>23.8</v>
      </c>
      <c r="E200" s="54"/>
      <c r="F200" s="54"/>
      <c r="G200" s="54"/>
      <c r="H200" s="54"/>
      <c r="I200" s="52">
        <f t="shared" si="7"/>
        <v>4.7599999999999962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>
        <v>60</v>
      </c>
      <c r="B201" s="53">
        <v>194.5</v>
      </c>
      <c r="C201" s="53"/>
      <c r="D201" s="53"/>
      <c r="E201" s="54"/>
      <c r="F201" s="54"/>
      <c r="G201" s="54"/>
      <c r="H201" s="54"/>
      <c r="I201" s="52">
        <f t="shared" si="7"/>
        <v>4.0600000000000023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>
        <v>65</v>
      </c>
      <c r="B202" s="53">
        <v>211.70000000000002</v>
      </c>
      <c r="C202" s="53">
        <v>5</v>
      </c>
      <c r="D202" s="53">
        <v>17.700000000000003</v>
      </c>
      <c r="E202" s="54"/>
      <c r="F202" s="54"/>
      <c r="G202" s="54"/>
      <c r="H202" s="54"/>
      <c r="I202" s="52">
        <f t="shared" si="7"/>
        <v>3.4400000000000035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>
        <v>70</v>
      </c>
      <c r="B203" s="53">
        <v>208.6</v>
      </c>
      <c r="C203" s="53"/>
      <c r="D203" s="53"/>
      <c r="E203" s="54"/>
      <c r="F203" s="54"/>
      <c r="G203" s="54"/>
      <c r="H203" s="54"/>
      <c r="I203" s="52">
        <f t="shared" si="7"/>
        <v>2.919999999999999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>
        <v>75</v>
      </c>
      <c r="B204" s="53">
        <v>221.5</v>
      </c>
      <c r="C204" s="53"/>
      <c r="D204" s="53"/>
      <c r="E204" s="54"/>
      <c r="F204" s="54"/>
      <c r="G204" s="54"/>
      <c r="H204" s="54"/>
      <c r="I204" s="52">
        <f t="shared" si="7"/>
        <v>2.580000000000001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>
        <v>80</v>
      </c>
      <c r="B205" s="53">
        <v>232.89999999999998</v>
      </c>
      <c r="C205" s="53">
        <v>6</v>
      </c>
      <c r="D205" s="53">
        <f>B205</f>
        <v>232.89999999999998</v>
      </c>
      <c r="E205" s="54"/>
      <c r="F205" s="54"/>
      <c r="G205" s="54"/>
      <c r="H205" s="54"/>
      <c r="I205" s="52">
        <f t="shared" si="7"/>
        <v>2.2799999999999954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>Erable champêtre</v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89" t="s">
        <v>185</v>
      </c>
      <c r="C216" s="291" t="s">
        <v>186</v>
      </c>
      <c r="D216" s="291"/>
      <c r="E216" s="292" t="s">
        <v>187</v>
      </c>
      <c r="F216" s="293"/>
      <c r="G216" s="293"/>
      <c r="H216" s="294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>
        <v>15</v>
      </c>
      <c r="B218" s="61">
        <v>8.9</v>
      </c>
      <c r="C218" s="61"/>
      <c r="D218" s="61"/>
      <c r="E218" s="64"/>
      <c r="F218" s="64"/>
      <c r="G218" s="64"/>
      <c r="H218" s="64"/>
      <c r="I218" s="56">
        <f>IFERROR(B218/A218,"")</f>
        <v>0.59333333333333338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>
        <v>20</v>
      </c>
      <c r="B219" s="61">
        <v>56.7</v>
      </c>
      <c r="C219" s="61"/>
      <c r="D219" s="61"/>
      <c r="E219" s="64"/>
      <c r="F219" s="64"/>
      <c r="G219" s="64"/>
      <c r="H219" s="64"/>
      <c r="I219" s="56">
        <f t="shared" ref="I219:I237" si="8">IF(A219&lt;&gt;0,(B219-(B218-D218))/(A219-A218),"")</f>
        <v>9.56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>
        <v>25</v>
      </c>
      <c r="B220" s="61">
        <v>107.3</v>
      </c>
      <c r="C220" s="61">
        <v>1</v>
      </c>
      <c r="D220" s="61">
        <v>42</v>
      </c>
      <c r="E220" s="64"/>
      <c r="F220" s="64"/>
      <c r="G220" s="64"/>
      <c r="H220" s="64">
        <v>1</v>
      </c>
      <c r="I220" s="56">
        <f t="shared" si="8"/>
        <v>10.119999999999999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3">
        <v>30</v>
      </c>
      <c r="B221" s="61">
        <v>113.5</v>
      </c>
      <c r="C221" s="61"/>
      <c r="D221" s="61"/>
      <c r="E221" s="64"/>
      <c r="F221" s="64"/>
      <c r="G221" s="64"/>
      <c r="H221" s="64"/>
      <c r="I221" s="56">
        <f t="shared" si="8"/>
        <v>9.64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3">
        <v>35</v>
      </c>
      <c r="B222" s="61">
        <v>157.1</v>
      </c>
      <c r="C222" s="61">
        <v>2</v>
      </c>
      <c r="D222" s="61">
        <v>42</v>
      </c>
      <c r="E222" s="64"/>
      <c r="F222" s="64"/>
      <c r="G222" s="64"/>
      <c r="H222" s="64"/>
      <c r="I222" s="56">
        <f t="shared" si="8"/>
        <v>8.7199999999999989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3">
        <v>40</v>
      </c>
      <c r="B223" s="61">
        <v>153</v>
      </c>
      <c r="C223" s="61"/>
      <c r="D223" s="61"/>
      <c r="E223" s="64"/>
      <c r="F223" s="64"/>
      <c r="G223" s="64"/>
      <c r="H223" s="64"/>
      <c r="I223" s="56">
        <f t="shared" si="8"/>
        <v>7.580000000000001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3">
        <v>45</v>
      </c>
      <c r="B224" s="61">
        <v>185.60000000000002</v>
      </c>
      <c r="C224" s="61">
        <v>3</v>
      </c>
      <c r="D224" s="61">
        <v>39.299999999999997</v>
      </c>
      <c r="E224" s="64"/>
      <c r="F224" s="64"/>
      <c r="G224" s="64"/>
      <c r="H224" s="64"/>
      <c r="I224" s="56">
        <f t="shared" si="8"/>
        <v>6.5200000000000049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3">
        <v>50</v>
      </c>
      <c r="B225" s="53">
        <v>174.20000000000002</v>
      </c>
      <c r="C225" s="53"/>
      <c r="D225" s="53"/>
      <c r="E225" s="64"/>
      <c r="F225" s="64"/>
      <c r="G225" s="64"/>
      <c r="H225" s="64"/>
      <c r="I225" s="56">
        <f t="shared" si="8"/>
        <v>5.580000000000001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3">
        <v>55</v>
      </c>
      <c r="B226" s="53">
        <v>198</v>
      </c>
      <c r="C226" s="53">
        <v>4</v>
      </c>
      <c r="D226" s="53">
        <v>23.8</v>
      </c>
      <c r="E226" s="64"/>
      <c r="F226" s="64"/>
      <c r="G226" s="64"/>
      <c r="H226" s="64"/>
      <c r="I226" s="56">
        <f t="shared" si="8"/>
        <v>4.7599999999999962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3">
        <v>60</v>
      </c>
      <c r="B227" s="53">
        <v>194.5</v>
      </c>
      <c r="C227" s="53"/>
      <c r="D227" s="53"/>
      <c r="E227" s="64"/>
      <c r="F227" s="64"/>
      <c r="G227" s="64"/>
      <c r="H227" s="64"/>
      <c r="I227" s="56">
        <f t="shared" si="8"/>
        <v>4.0600000000000023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3">
        <v>65</v>
      </c>
      <c r="B228" s="53">
        <v>211.70000000000002</v>
      </c>
      <c r="C228" s="53">
        <v>5</v>
      </c>
      <c r="D228" s="53">
        <v>17.700000000000003</v>
      </c>
      <c r="E228" s="64"/>
      <c r="F228" s="64"/>
      <c r="G228" s="64"/>
      <c r="H228" s="64"/>
      <c r="I228" s="56">
        <f t="shared" si="8"/>
        <v>3.4400000000000035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3">
        <v>70</v>
      </c>
      <c r="B229" s="53">
        <v>208.6</v>
      </c>
      <c r="C229" s="53"/>
      <c r="D229" s="53"/>
      <c r="E229" s="64"/>
      <c r="F229" s="64"/>
      <c r="G229" s="64"/>
      <c r="H229" s="64"/>
      <c r="I229" s="56">
        <f t="shared" si="8"/>
        <v>2.919999999999999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3">
        <v>75</v>
      </c>
      <c r="B230" s="53">
        <v>221.5</v>
      </c>
      <c r="C230" s="53"/>
      <c r="D230" s="53"/>
      <c r="E230" s="65"/>
      <c r="F230" s="65"/>
      <c r="G230" s="65"/>
      <c r="H230" s="65"/>
      <c r="I230" s="56">
        <f t="shared" si="8"/>
        <v>2.580000000000001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53">
        <v>80</v>
      </c>
      <c r="B231" s="53">
        <v>232.89999999999998</v>
      </c>
      <c r="C231" s="53">
        <v>6</v>
      </c>
      <c r="D231" s="53">
        <v>232.89999999999998</v>
      </c>
      <c r="E231" s="57"/>
      <c r="F231" s="57"/>
      <c r="G231" s="57"/>
      <c r="H231" s="57"/>
      <c r="I231" s="56">
        <f t="shared" si="8"/>
        <v>2.2799999999999954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>Hêtre</v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89" t="s">
        <v>185</v>
      </c>
      <c r="C242" s="291" t="s">
        <v>186</v>
      </c>
      <c r="D242" s="291"/>
      <c r="E242" s="292" t="s">
        <v>187</v>
      </c>
      <c r="F242" s="293"/>
      <c r="G242" s="293"/>
      <c r="H242" s="294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>
        <v>18</v>
      </c>
      <c r="B244" s="61">
        <v>3</v>
      </c>
      <c r="C244" s="61"/>
      <c r="D244" s="61"/>
      <c r="E244" s="54"/>
      <c r="F244" s="54"/>
      <c r="G244" s="54"/>
      <c r="H244" s="64"/>
      <c r="I244" s="56">
        <f>IFERROR(B244/A244,"")</f>
        <v>0.16666666666666666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>
        <v>21</v>
      </c>
      <c r="B245" s="61">
        <v>16</v>
      </c>
      <c r="C245" s="61"/>
      <c r="D245" s="61"/>
      <c r="E245" s="64"/>
      <c r="F245" s="64"/>
      <c r="G245" s="64"/>
      <c r="H245" s="64"/>
      <c r="I245" s="56">
        <f>IF(A245&lt;&gt;0,(B245-(B244-D244))/(A245-A244),"")</f>
        <v>4.333333333333333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>
        <v>27</v>
      </c>
      <c r="B246" s="61">
        <v>77</v>
      </c>
      <c r="C246" s="61">
        <v>1</v>
      </c>
      <c r="D246" s="61">
        <v>12</v>
      </c>
      <c r="E246" s="64"/>
      <c r="F246" s="64"/>
      <c r="G246" s="64"/>
      <c r="H246" s="64">
        <v>1</v>
      </c>
      <c r="I246" s="56">
        <f>IF(A246&lt;&gt;0,(B246-(B245-D245))/(A246-A245),"")</f>
        <v>10.166666666666666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>
        <v>30</v>
      </c>
      <c r="B247" s="61">
        <v>102</v>
      </c>
      <c r="C247" s="61">
        <v>2</v>
      </c>
      <c r="D247" s="61">
        <v>13</v>
      </c>
      <c r="E247" s="64"/>
      <c r="F247" s="64"/>
      <c r="G247" s="64"/>
      <c r="H247" s="64">
        <v>1</v>
      </c>
      <c r="I247" s="56">
        <f t="shared" ref="I247:I263" si="9">IF(A247&lt;&gt;0,(B247-(B246-D246))/(A247-A246),"")</f>
        <v>12.333333333333334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>
        <v>36</v>
      </c>
      <c r="B248" s="61">
        <v>174</v>
      </c>
      <c r="C248" s="61">
        <v>3</v>
      </c>
      <c r="D248" s="61">
        <v>60</v>
      </c>
      <c r="E248" s="64"/>
      <c r="F248" s="64"/>
      <c r="G248" s="64"/>
      <c r="H248" s="64"/>
      <c r="I248" s="56">
        <f t="shared" si="9"/>
        <v>14.166666666666666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>
        <v>42</v>
      </c>
      <c r="B249" s="61">
        <v>205</v>
      </c>
      <c r="C249" s="61">
        <v>4</v>
      </c>
      <c r="D249" s="61">
        <v>59</v>
      </c>
      <c r="E249" s="64"/>
      <c r="F249" s="64"/>
      <c r="G249" s="64"/>
      <c r="H249" s="64"/>
      <c r="I249" s="56">
        <f t="shared" si="9"/>
        <v>15.166666666666666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>
        <v>48</v>
      </c>
      <c r="B250" s="61">
        <v>240</v>
      </c>
      <c r="C250" s="61">
        <v>5</v>
      </c>
      <c r="D250" s="61">
        <v>63</v>
      </c>
      <c r="E250" s="64"/>
      <c r="F250" s="64"/>
      <c r="G250" s="64"/>
      <c r="H250" s="64"/>
      <c r="I250" s="56">
        <f t="shared" si="9"/>
        <v>15.666666666666666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>
        <v>54</v>
      </c>
      <c r="B251" s="58">
        <v>270</v>
      </c>
      <c r="C251" s="58">
        <v>6</v>
      </c>
      <c r="D251" s="58">
        <v>64</v>
      </c>
      <c r="E251" s="64"/>
      <c r="F251" s="64"/>
      <c r="G251" s="64"/>
      <c r="H251" s="64"/>
      <c r="I251" s="56">
        <f t="shared" si="9"/>
        <v>15.5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>
        <v>60</v>
      </c>
      <c r="B252" s="58">
        <v>295</v>
      </c>
      <c r="C252" s="58">
        <v>7</v>
      </c>
      <c r="D252" s="58">
        <v>61</v>
      </c>
      <c r="E252" s="64"/>
      <c r="F252" s="64"/>
      <c r="G252" s="64"/>
      <c r="H252" s="64"/>
      <c r="I252" s="56">
        <f t="shared" si="9"/>
        <v>14.833333333333334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>
        <v>69</v>
      </c>
      <c r="B253" s="58">
        <v>358</v>
      </c>
      <c r="C253" s="58">
        <v>8</v>
      </c>
      <c r="D253" s="58">
        <v>84</v>
      </c>
      <c r="E253" s="64"/>
      <c r="F253" s="64"/>
      <c r="G253" s="64"/>
      <c r="H253" s="64"/>
      <c r="I253" s="56">
        <f t="shared" si="9"/>
        <v>13.777777777777779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>
        <v>78</v>
      </c>
      <c r="B254" s="58">
        <v>387</v>
      </c>
      <c r="C254" s="58">
        <v>9</v>
      </c>
      <c r="D254" s="58">
        <v>39</v>
      </c>
      <c r="E254" s="64"/>
      <c r="F254" s="64"/>
      <c r="G254" s="64"/>
      <c r="H254" s="64"/>
      <c r="I254" s="56">
        <f t="shared" si="9"/>
        <v>12.555555555555555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>
        <v>84</v>
      </c>
      <c r="B255" s="58">
        <v>420</v>
      </c>
      <c r="C255" s="58"/>
      <c r="D255" s="58"/>
      <c r="E255" s="64"/>
      <c r="F255" s="64"/>
      <c r="G255" s="64"/>
      <c r="H255" s="64"/>
      <c r="I255" s="56">
        <f t="shared" si="9"/>
        <v>12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>
        <v>90</v>
      </c>
      <c r="B256" s="58">
        <v>489</v>
      </c>
      <c r="C256" s="58"/>
      <c r="D256" s="58"/>
      <c r="E256" s="65"/>
      <c r="F256" s="65"/>
      <c r="G256" s="65"/>
      <c r="H256" s="65"/>
      <c r="I256" s="56">
        <f t="shared" si="9"/>
        <v>11.5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2">
        <v>96</v>
      </c>
      <c r="B257" s="61">
        <v>557</v>
      </c>
      <c r="C257" s="92"/>
      <c r="D257" s="61"/>
      <c r="E257" s="57"/>
      <c r="F257" s="57"/>
      <c r="G257" s="57"/>
      <c r="H257" s="57"/>
      <c r="I257" s="56">
        <f t="shared" si="9"/>
        <v>11.333333333333334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>
        <v>99</v>
      </c>
      <c r="B258" s="53">
        <v>591</v>
      </c>
      <c r="C258" s="53">
        <v>10</v>
      </c>
      <c r="D258" s="53">
        <f>B258</f>
        <v>591</v>
      </c>
      <c r="E258" s="57"/>
      <c r="F258" s="57"/>
      <c r="G258" s="57"/>
      <c r="H258" s="57"/>
      <c r="I258" s="56">
        <f t="shared" si="9"/>
        <v>11.333333333333334</v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>Merisier</v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89" t="s">
        <v>185</v>
      </c>
      <c r="C268" s="291" t="s">
        <v>186</v>
      </c>
      <c r="D268" s="291"/>
      <c r="E268" s="292" t="s">
        <v>187</v>
      </c>
      <c r="F268" s="293"/>
      <c r="G268" s="293"/>
      <c r="H268" s="294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>
        <v>15</v>
      </c>
      <c r="B270" s="61">
        <v>40</v>
      </c>
      <c r="C270" s="53"/>
      <c r="D270" s="61"/>
      <c r="E270" s="54"/>
      <c r="F270" s="54"/>
      <c r="G270" s="54"/>
      <c r="H270" s="54"/>
      <c r="I270" s="56">
        <f>IFERROR(B270/A270,"")</f>
        <v>2.6666666666666665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>
        <v>20</v>
      </c>
      <c r="B271" s="61">
        <v>88</v>
      </c>
      <c r="C271" s="53">
        <v>1</v>
      </c>
      <c r="D271" s="61">
        <v>28</v>
      </c>
      <c r="E271" s="54"/>
      <c r="F271" s="54"/>
      <c r="G271" s="54"/>
      <c r="H271" s="54">
        <v>1</v>
      </c>
      <c r="I271" s="56">
        <f>IF(A271&lt;&gt;0,(B271-(B270-D270))/(A271-A270),"")</f>
        <v>9.6</v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>
        <v>25</v>
      </c>
      <c r="B272" s="61">
        <v>113</v>
      </c>
      <c r="C272" s="53">
        <v>2</v>
      </c>
      <c r="D272" s="61">
        <v>27</v>
      </c>
      <c r="E272" s="54"/>
      <c r="F272" s="54"/>
      <c r="G272" s="54"/>
      <c r="H272" s="54">
        <v>1</v>
      </c>
      <c r="I272" s="56">
        <f t="shared" ref="I272:I289" si="10">IF(A272&lt;&gt;0,(B272-(B271-D271))/(A272-A271),"")</f>
        <v>10.6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>
        <v>31</v>
      </c>
      <c r="B273" s="61">
        <v>155</v>
      </c>
      <c r="C273" s="53">
        <v>3</v>
      </c>
      <c r="D273" s="61">
        <v>36</v>
      </c>
      <c r="E273" s="54"/>
      <c r="F273" s="54"/>
      <c r="G273" s="54"/>
      <c r="H273" s="54">
        <v>1</v>
      </c>
      <c r="I273" s="56">
        <f t="shared" si="10"/>
        <v>11.5</v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>
        <v>37</v>
      </c>
      <c r="B274" s="61">
        <v>188</v>
      </c>
      <c r="C274" s="53">
        <v>4</v>
      </c>
      <c r="D274" s="61">
        <v>36</v>
      </c>
      <c r="E274" s="54"/>
      <c r="F274" s="54"/>
      <c r="G274" s="54"/>
      <c r="H274" s="54"/>
      <c r="I274" s="56">
        <f t="shared" si="10"/>
        <v>11.5</v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>
        <v>44</v>
      </c>
      <c r="B275" s="61">
        <v>230</v>
      </c>
      <c r="C275" s="53">
        <v>5</v>
      </c>
      <c r="D275" s="61">
        <v>43</v>
      </c>
      <c r="E275" s="64"/>
      <c r="F275" s="64"/>
      <c r="G275" s="64"/>
      <c r="H275" s="64"/>
      <c r="I275" s="56">
        <f t="shared" si="10"/>
        <v>11.142857142857142</v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>
        <v>52</v>
      </c>
      <c r="B276" s="61">
        <v>270</v>
      </c>
      <c r="C276" s="53">
        <v>6</v>
      </c>
      <c r="D276" s="61">
        <v>48</v>
      </c>
      <c r="E276" s="64"/>
      <c r="F276" s="64"/>
      <c r="G276" s="64"/>
      <c r="H276" s="64"/>
      <c r="I276" s="56">
        <f t="shared" si="10"/>
        <v>10.375</v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>
        <v>60</v>
      </c>
      <c r="B277" s="58">
        <v>297</v>
      </c>
      <c r="C277" s="58">
        <v>7</v>
      </c>
      <c r="D277" s="58">
        <v>47</v>
      </c>
      <c r="E277" s="64"/>
      <c r="F277" s="64"/>
      <c r="G277" s="64"/>
      <c r="H277" s="64"/>
      <c r="I277" s="56">
        <f t="shared" si="10"/>
        <v>9.375</v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>
        <v>69</v>
      </c>
      <c r="B278" s="58">
        <v>328</v>
      </c>
      <c r="C278" s="58">
        <v>8</v>
      </c>
      <c r="D278" s="58">
        <f>B278</f>
        <v>328</v>
      </c>
      <c r="E278" s="64"/>
      <c r="F278" s="64"/>
      <c r="G278" s="64"/>
      <c r="H278" s="64"/>
      <c r="I278" s="56">
        <f t="shared" si="10"/>
        <v>8.6666666666666661</v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2"/>
      <c r="B283" s="61"/>
      <c r="C283" s="92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opLeftCell="A2" zoomScale="115" zoomScaleNormal="115" workbookViewId="0">
      <selection activeCell="C10" sqref="C10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6" t="s">
        <v>191</v>
      </c>
      <c r="C2" s="307"/>
      <c r="D2" s="307"/>
      <c r="E2" s="307"/>
      <c r="F2" s="307"/>
      <c r="G2" s="30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5"/>
      <c r="C4" s="305"/>
      <c r="D4" s="305"/>
      <c r="E4" s="305"/>
      <c r="F4" s="305"/>
      <c r="G4" s="30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3">
      <c r="A8" s="112">
        <v>1</v>
      </c>
      <c r="B8" s="62">
        <v>1</v>
      </c>
      <c r="C8" s="52" t="s">
        <v>177</v>
      </c>
      <c r="D8" s="25"/>
      <c r="E8" s="112">
        <v>4</v>
      </c>
      <c r="F8" s="62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2">
        <v>2</v>
      </c>
      <c r="B9" s="62">
        <v>0</v>
      </c>
      <c r="C9" s="115" t="s">
        <v>216</v>
      </c>
      <c r="D9" s="25"/>
      <c r="E9" s="112">
        <v>5</v>
      </c>
      <c r="F9" s="62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2">
        <v>3</v>
      </c>
      <c r="B10" s="62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3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2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2">
        <v>1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2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69" bestFit="1" customWidth="1"/>
    <col min="2" max="4" width="11.44140625" style="69"/>
    <col min="5" max="5" width="9.5546875" style="69" customWidth="1"/>
    <col min="6" max="7" width="11.44140625" style="69"/>
    <col min="8" max="8" width="10.6640625" style="69" customWidth="1"/>
    <col min="9" max="9" width="9.44140625" style="69" customWidth="1"/>
    <col min="10" max="11" width="10.5546875" style="69" bestFit="1" customWidth="1"/>
    <col min="12" max="12" width="14" style="69" bestFit="1" customWidth="1"/>
    <col min="13" max="13" width="14" style="69" customWidth="1"/>
    <col min="14" max="23" width="11.44140625" style="69"/>
    <col min="24" max="24" width="11.6640625" style="69" bestFit="1" customWidth="1"/>
    <col min="25" max="25" width="14.5546875" style="69" bestFit="1" customWidth="1"/>
    <col min="26" max="26" width="12.44140625" style="69" bestFit="1" customWidth="1"/>
    <col min="27" max="27" width="9.6640625" style="69" bestFit="1" customWidth="1"/>
    <col min="28" max="28" width="11" style="69" bestFit="1" customWidth="1"/>
    <col min="29" max="29" width="9.44140625" style="69" bestFit="1" customWidth="1"/>
    <col min="30" max="31" width="9.44140625" style="69" customWidth="1"/>
    <col min="32" max="32" width="11.44140625" style="69"/>
    <col min="33" max="34" width="14" style="69" bestFit="1" customWidth="1"/>
    <col min="35" max="35" width="10.5546875" style="69" bestFit="1" customWidth="1"/>
    <col min="36" max="36" width="9.44140625" style="69" bestFit="1" customWidth="1"/>
    <col min="37" max="38" width="10.5546875" style="69" bestFit="1" customWidth="1"/>
    <col min="39" max="41" width="10.5546875" style="69" customWidth="1"/>
    <col min="42" max="42" width="9" style="69" bestFit="1" customWidth="1"/>
    <col min="43" max="43" width="10.5546875" style="69" bestFit="1" customWidth="1"/>
    <col min="44" max="44" width="9.33203125" style="69" bestFit="1" customWidth="1"/>
    <col min="45" max="45" width="11.6640625" style="69" bestFit="1" customWidth="1"/>
    <col min="46" max="46" width="8.44140625" style="69" bestFit="1" customWidth="1"/>
    <col min="47" max="47" width="9.44140625" style="69" bestFit="1" customWidth="1"/>
    <col min="48" max="48" width="9.6640625" style="69" bestFit="1" customWidth="1"/>
    <col min="49" max="49" width="11" style="69" bestFit="1" customWidth="1"/>
    <col min="50" max="50" width="9.44140625" style="69" bestFit="1" customWidth="1"/>
    <col min="51" max="52" width="9.44140625" style="69" customWidth="1"/>
    <col min="53" max="53" width="10.5546875" style="69" bestFit="1" customWidth="1"/>
    <col min="54" max="54" width="14.33203125" style="69" customWidth="1"/>
    <col min="55" max="55" width="14" style="69" customWidth="1"/>
    <col min="56" max="56" width="10.5546875" style="69" bestFit="1" customWidth="1"/>
    <col min="57" max="57" width="9.44140625" style="69" bestFit="1" customWidth="1"/>
    <col min="58" max="59" width="10.5546875" style="69" bestFit="1" customWidth="1"/>
    <col min="60" max="62" width="10.5546875" style="69" customWidth="1"/>
    <col min="63" max="63" width="9" style="69" bestFit="1" customWidth="1"/>
    <col min="64" max="64" width="10.5546875" style="69" bestFit="1" customWidth="1"/>
    <col min="65" max="65" width="9.33203125" style="69" bestFit="1" customWidth="1"/>
    <col min="66" max="66" width="11.6640625" style="69" bestFit="1" customWidth="1"/>
    <col min="67" max="67" width="8.44140625" style="69" bestFit="1" customWidth="1"/>
    <col min="68" max="68" width="9.44140625" style="69" bestFit="1" customWidth="1"/>
    <col min="69" max="69" width="9.6640625" style="69" bestFit="1" customWidth="1"/>
    <col min="70" max="70" width="11" style="69" bestFit="1" customWidth="1"/>
    <col min="71" max="71" width="9.44140625" style="69" bestFit="1" customWidth="1"/>
    <col min="72" max="73" width="9.44140625" style="69" customWidth="1"/>
    <col min="74" max="74" width="10.5546875" style="69" bestFit="1" customWidth="1"/>
    <col min="75" max="75" width="14" style="69" bestFit="1" customWidth="1"/>
    <col min="76" max="76" width="13.88671875" style="69" customWidth="1"/>
    <col min="77" max="77" width="10.5546875" style="69" bestFit="1" customWidth="1"/>
    <col min="78" max="78" width="9.44140625" style="69" bestFit="1" customWidth="1"/>
    <col min="79" max="80" width="10.5546875" style="69" bestFit="1" customWidth="1"/>
    <col min="81" max="83" width="10.5546875" style="69" customWidth="1"/>
    <col min="84" max="84" width="11.44140625" style="69"/>
    <col min="85" max="85" width="10.5546875" style="69" bestFit="1" customWidth="1"/>
    <col min="86" max="86" width="9.33203125" style="69" bestFit="1" customWidth="1"/>
    <col min="87" max="87" width="11.6640625" style="69" bestFit="1" customWidth="1"/>
    <col min="88" max="88" width="8.44140625" style="69" bestFit="1" customWidth="1"/>
    <col min="89" max="89" width="9.44140625" style="69" bestFit="1" customWidth="1"/>
    <col min="90" max="90" width="9.6640625" style="69" bestFit="1" customWidth="1"/>
    <col min="91" max="91" width="11" style="69" bestFit="1" customWidth="1"/>
    <col min="92" max="92" width="9.44140625" style="69" bestFit="1" customWidth="1"/>
    <col min="93" max="94" width="9.44140625" style="69" customWidth="1"/>
    <col min="95" max="95" width="11.44140625" style="69"/>
    <col min="96" max="97" width="14" style="69" customWidth="1"/>
    <col min="98" max="98" width="10.5546875" style="69" bestFit="1" customWidth="1"/>
    <col min="99" max="99" width="9.44140625" style="69" bestFit="1" customWidth="1"/>
    <col min="100" max="101" width="10.5546875" style="69" bestFit="1" customWidth="1"/>
    <col min="102" max="104" width="10.5546875" style="69" customWidth="1"/>
    <col min="105" max="105" width="9" style="69" bestFit="1" customWidth="1"/>
    <col min="106" max="106" width="10.5546875" style="69" bestFit="1" customWidth="1"/>
    <col min="107" max="107" width="9.33203125" style="69" bestFit="1" customWidth="1"/>
    <col min="108" max="108" width="11.6640625" style="69" bestFit="1" customWidth="1"/>
    <col min="109" max="109" width="8.44140625" style="69" bestFit="1" customWidth="1"/>
    <col min="110" max="110" width="9.44140625" style="69" bestFit="1" customWidth="1"/>
    <col min="111" max="111" width="9.6640625" style="69" bestFit="1" customWidth="1"/>
    <col min="112" max="112" width="11" style="69" bestFit="1" customWidth="1"/>
    <col min="113" max="113" width="9.44140625" style="69" bestFit="1" customWidth="1"/>
    <col min="114" max="115" width="9.44140625" style="69" customWidth="1"/>
    <col min="116" max="116" width="10.5546875" style="69" bestFit="1" customWidth="1"/>
    <col min="117" max="117" width="14.33203125" style="69" customWidth="1"/>
    <col min="118" max="118" width="14" style="69" bestFit="1" customWidth="1"/>
    <col min="119" max="119" width="10.5546875" style="69" bestFit="1" customWidth="1"/>
    <col min="120" max="120" width="9.44140625" style="69" bestFit="1" customWidth="1"/>
    <col min="121" max="122" width="10.5546875" style="69" bestFit="1" customWidth="1"/>
    <col min="123" max="125" width="10.5546875" style="69" customWidth="1"/>
    <col min="126" max="126" width="9" style="69" bestFit="1" customWidth="1"/>
    <col min="127" max="127" width="10.5546875" style="69" bestFit="1" customWidth="1"/>
    <col min="128" max="128" width="9.33203125" style="69" bestFit="1" customWidth="1"/>
    <col min="129" max="129" width="11.6640625" style="69" bestFit="1" customWidth="1"/>
    <col min="130" max="130" width="8.44140625" style="69" bestFit="1" customWidth="1"/>
    <col min="131" max="131" width="9.44140625" style="69" bestFit="1" customWidth="1"/>
    <col min="132" max="132" width="9.6640625" style="69" bestFit="1" customWidth="1"/>
    <col min="133" max="133" width="11" style="69" bestFit="1" customWidth="1"/>
    <col min="134" max="134" width="9.44140625" style="69" bestFit="1" customWidth="1"/>
    <col min="135" max="136" width="9.44140625" style="69" customWidth="1"/>
    <col min="137" max="137" width="10.5546875" style="69" bestFit="1" customWidth="1"/>
    <col min="138" max="139" width="14" style="69" customWidth="1"/>
    <col min="140" max="140" width="10.5546875" style="69" bestFit="1" customWidth="1"/>
    <col min="141" max="141" width="9.44140625" style="69" bestFit="1" customWidth="1"/>
    <col min="142" max="143" width="10.5546875" style="69" bestFit="1" customWidth="1"/>
    <col min="144" max="146" width="10.5546875" style="69" customWidth="1"/>
    <col min="147" max="147" width="9" style="69" bestFit="1" customWidth="1"/>
    <col min="148" max="148" width="10.5546875" style="69" bestFit="1" customWidth="1"/>
    <col min="149" max="149" width="9.33203125" style="69" bestFit="1" customWidth="1"/>
    <col min="150" max="150" width="11.6640625" style="69" bestFit="1" customWidth="1"/>
    <col min="151" max="151" width="8.44140625" style="69" bestFit="1" customWidth="1"/>
    <col min="152" max="152" width="9.44140625" style="69" bestFit="1" customWidth="1"/>
    <col min="153" max="153" width="9.6640625" style="69" bestFit="1" customWidth="1"/>
    <col min="154" max="154" width="11" style="69" bestFit="1" customWidth="1"/>
    <col min="155" max="155" width="9.44140625" style="69" bestFit="1" customWidth="1"/>
    <col min="156" max="157" width="9.44140625" style="69" customWidth="1"/>
    <col min="158" max="158" width="11.44140625" style="69"/>
    <col min="159" max="160" width="14" style="69" bestFit="1" customWidth="1"/>
    <col min="161" max="161" width="10.5546875" style="69" bestFit="1" customWidth="1"/>
    <col min="162" max="162" width="9.44140625" style="69" bestFit="1" customWidth="1"/>
    <col min="163" max="164" width="10.5546875" style="69" bestFit="1" customWidth="1"/>
    <col min="165" max="167" width="10.5546875" style="69" customWidth="1"/>
    <col min="168" max="168" width="9" style="69" bestFit="1" customWidth="1"/>
    <col min="169" max="169" width="10.5546875" style="69" bestFit="1" customWidth="1"/>
    <col min="170" max="170" width="9.33203125" style="69" bestFit="1" customWidth="1"/>
    <col min="171" max="171" width="11.6640625" style="69" bestFit="1" customWidth="1"/>
    <col min="172" max="172" width="8.109375" style="69" bestFit="1" customWidth="1"/>
    <col min="173" max="173" width="9.44140625" style="69" bestFit="1" customWidth="1"/>
    <col min="174" max="174" width="9.6640625" style="69" bestFit="1" customWidth="1"/>
    <col min="175" max="175" width="11" style="69" bestFit="1" customWidth="1"/>
    <col min="176" max="176" width="9.44140625" style="69" bestFit="1" customWidth="1"/>
    <col min="177" max="178" width="9.44140625" style="69" customWidth="1"/>
    <col min="179" max="179" width="10.5546875" style="69" bestFit="1" customWidth="1"/>
    <col min="180" max="181" width="14" style="69" bestFit="1" customWidth="1"/>
    <col min="182" max="182" width="10.5546875" style="69" bestFit="1" customWidth="1"/>
    <col min="183" max="183" width="9.44140625" style="69" bestFit="1" customWidth="1"/>
    <col min="184" max="185" width="10.5546875" style="69" bestFit="1" customWidth="1"/>
    <col min="186" max="188" width="10.5546875" style="69" customWidth="1"/>
    <col min="189" max="189" width="9" style="69" bestFit="1" customWidth="1"/>
    <col min="190" max="190" width="10.5546875" style="69" bestFit="1" customWidth="1"/>
    <col min="191" max="191" width="9.33203125" style="69" bestFit="1" customWidth="1"/>
    <col min="192" max="192" width="11.44140625" style="69"/>
    <col min="193" max="193" width="8.44140625" style="69" bestFit="1" customWidth="1"/>
    <col min="194" max="194" width="9.44140625" style="69" bestFit="1" customWidth="1"/>
    <col min="195" max="195" width="9.6640625" style="69" bestFit="1" customWidth="1"/>
    <col min="196" max="196" width="11" style="69" bestFit="1" customWidth="1"/>
    <col min="197" max="197" width="9.44140625" style="69" bestFit="1" customWidth="1"/>
    <col min="198" max="199" width="9.44140625" style="69" customWidth="1"/>
    <col min="200" max="200" width="10.5546875" style="69" bestFit="1" customWidth="1"/>
    <col min="201" max="201" width="14" style="69" customWidth="1"/>
    <col min="202" max="202" width="14.33203125" style="69" customWidth="1"/>
    <col min="203" max="203" width="10.5546875" style="69" bestFit="1" customWidth="1"/>
    <col min="204" max="204" width="9.44140625" style="69" bestFit="1" customWidth="1"/>
    <col min="205" max="206" width="10.5546875" style="69" bestFit="1" customWidth="1"/>
    <col min="207" max="209" width="10.5546875" style="69" customWidth="1"/>
    <col min="210" max="210" width="9" style="69" bestFit="1" customWidth="1"/>
    <col min="211" max="211" width="10.5546875" style="69" bestFit="1" customWidth="1"/>
    <col min="212" max="212" width="9.33203125" style="69" bestFit="1" customWidth="1"/>
    <col min="213" max="213" width="11.6640625" style="69" bestFit="1" customWidth="1"/>
    <col min="214" max="214" width="8.44140625" style="69" bestFit="1" customWidth="1"/>
    <col min="215" max="215" width="9.44140625" style="69" bestFit="1" customWidth="1"/>
    <col min="216" max="216" width="9.6640625" style="69" bestFit="1" customWidth="1"/>
    <col min="217" max="217" width="11" style="69" bestFit="1" customWidth="1"/>
    <col min="218" max="218" width="9.44140625" style="69" bestFit="1" customWidth="1"/>
    <col min="219" max="16384" width="11.44140625" style="69"/>
  </cols>
  <sheetData>
    <row r="1" spans="1:218" s="5" customFormat="1" ht="26.4" thickBot="1" x14ac:dyDescent="0.55000000000000004">
      <c r="B1" s="312" t="s">
        <v>176</v>
      </c>
      <c r="C1" s="313"/>
      <c r="D1" s="313"/>
      <c r="E1" s="313"/>
      <c r="F1" s="313"/>
      <c r="G1" s="313"/>
      <c r="H1" s="314"/>
      <c r="I1" s="309" t="str">
        <f>IF('Données projet'!$B$9="","",'Données projet'!$B$9)</f>
        <v>Alisier torminal</v>
      </c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1"/>
      <c r="AD1" s="310" t="str">
        <f>IF('Données projet'!$B$10="","",'Données projet'!$B$10)</f>
        <v>Aulne glutineux</v>
      </c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1"/>
      <c r="AY1" s="309" t="str">
        <f>IF('Données projet'!$B$11="","",'Données projet'!$B$11)</f>
        <v>Bouleau verruqueux</v>
      </c>
      <c r="AZ1" s="310"/>
      <c r="BA1" s="310"/>
      <c r="BB1" s="310"/>
      <c r="BC1" s="310"/>
      <c r="BD1" s="310"/>
      <c r="BE1" s="310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1"/>
      <c r="BT1" s="309" t="str">
        <f>IF('Données projet'!$B$12="","",'Données projet'!$B$12)</f>
        <v>Charme</v>
      </c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1"/>
      <c r="CO1" s="309" t="str">
        <f>IF('Données projet'!$B$13="","",'Données projet'!$B$13)</f>
        <v>Chêne pédonculé</v>
      </c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1"/>
      <c r="DJ1" s="309" t="str">
        <f>IF('Données projet'!$B$14="","",'Données projet'!$B$14)</f>
        <v>Erable sycomore</v>
      </c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0"/>
      <c r="DZ1" s="310"/>
      <c r="EA1" s="310"/>
      <c r="EB1" s="310"/>
      <c r="EC1" s="310"/>
      <c r="ED1" s="311"/>
      <c r="EE1" s="309" t="str">
        <f>IF('Données projet'!$B$15="","",'Données projet'!$B$15)</f>
        <v>Erable plane</v>
      </c>
      <c r="EF1" s="310"/>
      <c r="EG1" s="310"/>
      <c r="EH1" s="310"/>
      <c r="EI1" s="310"/>
      <c r="EJ1" s="310"/>
      <c r="EK1" s="310"/>
      <c r="EL1" s="310"/>
      <c r="EM1" s="310"/>
      <c r="EN1" s="310"/>
      <c r="EO1" s="310"/>
      <c r="EP1" s="310"/>
      <c r="EQ1" s="310"/>
      <c r="ER1" s="310"/>
      <c r="ES1" s="310"/>
      <c r="ET1" s="310"/>
      <c r="EU1" s="310"/>
      <c r="EV1" s="310"/>
      <c r="EW1" s="310"/>
      <c r="EX1" s="310"/>
      <c r="EY1" s="311"/>
      <c r="EZ1" s="309" t="str">
        <f>IF('Données projet'!$B$16="","",'Données projet'!$B$16)</f>
        <v>Erable champêtre</v>
      </c>
      <c r="FA1" s="310"/>
      <c r="FB1" s="310"/>
      <c r="FC1" s="310"/>
      <c r="FD1" s="310"/>
      <c r="FE1" s="310"/>
      <c r="FF1" s="310"/>
      <c r="FG1" s="310"/>
      <c r="FH1" s="310"/>
      <c r="FI1" s="310"/>
      <c r="FJ1" s="310"/>
      <c r="FK1" s="310"/>
      <c r="FL1" s="310"/>
      <c r="FM1" s="310"/>
      <c r="FN1" s="310"/>
      <c r="FO1" s="310"/>
      <c r="FP1" s="310"/>
      <c r="FQ1" s="310"/>
      <c r="FR1" s="310"/>
      <c r="FS1" s="310"/>
      <c r="FT1" s="311"/>
      <c r="FU1" s="309" t="str">
        <f>IF('Données projet'!$B$17="","",'Données projet'!$B$17)</f>
        <v>Hêtre</v>
      </c>
      <c r="FV1" s="310"/>
      <c r="FW1" s="310"/>
      <c r="FX1" s="310"/>
      <c r="FY1" s="310"/>
      <c r="FZ1" s="310"/>
      <c r="GA1" s="310"/>
      <c r="GB1" s="310"/>
      <c r="GC1" s="310"/>
      <c r="GD1" s="310"/>
      <c r="GE1" s="310"/>
      <c r="GF1" s="310"/>
      <c r="GG1" s="310"/>
      <c r="GH1" s="310"/>
      <c r="GI1" s="310"/>
      <c r="GJ1" s="310"/>
      <c r="GK1" s="310"/>
      <c r="GL1" s="310"/>
      <c r="GM1" s="310"/>
      <c r="GN1" s="310"/>
      <c r="GO1" s="311"/>
      <c r="GP1" s="309" t="str">
        <f>IF('Données projet'!$B$18="","",'Données projet'!$B$18)</f>
        <v>Merisier</v>
      </c>
      <c r="GQ1" s="310"/>
      <c r="GR1" s="310"/>
      <c r="GS1" s="310"/>
      <c r="GT1" s="310"/>
      <c r="GU1" s="310"/>
      <c r="GV1" s="310"/>
      <c r="GW1" s="310"/>
      <c r="GX1" s="310"/>
      <c r="GY1" s="310"/>
      <c r="GZ1" s="310"/>
      <c r="HA1" s="310"/>
      <c r="HB1" s="310"/>
      <c r="HC1" s="310"/>
      <c r="HD1" s="310"/>
      <c r="HE1" s="310"/>
      <c r="HF1" s="310"/>
      <c r="HG1" s="310"/>
      <c r="HH1" s="310"/>
      <c r="HI1" s="310"/>
      <c r="HJ1" s="311"/>
    </row>
    <row r="2" spans="1:218" s="5" customFormat="1" ht="58.2" thickBot="1" x14ac:dyDescent="0.35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5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8">
        <f>(B3+E3+F3)*44/12+(C3+D3)*0.475*44/12</f>
        <v>256.66666666666669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256.66666666666669</v>
      </c>
      <c r="S3" s="60">
        <f ca="1">AVERAGE(OFFSET($R$3,0,0,'Données projet'!$E$9+1,1))-AVERAGE(OFFSET($H$3,0,0,'Données projet'!$E$9+1,1))</f>
        <v>456.86147223520601</v>
      </c>
      <c r="T3" s="60">
        <f>IF('Données projet'!E9&gt;30,$R$33-$H$33,LOOKUP('Données projet'!$E$9,$A$3:$A$203,R3:R203)-LOOKUP('Données projet'!$E$9,$A$3:$A$203,$H$3:$H$203))</f>
        <v>244.45149244446094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256.66666666666669</v>
      </c>
      <c r="AN3" s="60">
        <f ca="1">AVERAGE(OFFSET($AM$3,0,0,'Données projet'!$E$10+1,1))-AVERAGE(OFFSET($H$3,0,0,'Données projet'!$E$10+1,1))</f>
        <v>170.79567854714986</v>
      </c>
      <c r="AO3" s="60">
        <f>IF('Données projet'!E10&gt;30,$AM$33-$H$33,LOOKUP('Données projet'!$E$10,$A$3:$A$203,AM3:AM203)-LOOKUP('Données projet'!$E$10,$A$3:$A$203,$H$3:$H$203))</f>
        <v>155.92788004111191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256.66666666666669</v>
      </c>
      <c r="BI3" s="60">
        <f ca="1">AVERAGE(OFFSET($BH$3,0,0,'Données projet'!$E$11+1,1))-AVERAGE(OFFSET($H$3,0,0,'Données projet'!$E$11+1,1))</f>
        <v>256.19915261735281</v>
      </c>
      <c r="BJ3" s="60">
        <f>IF('Données projet'!E11&gt;30,$BH$33-$H$33,LOOKUP('Données projet'!$E$11,$A$3:$A$203,BH3:BH203)-LOOKUP('Données projet'!$E$11,$A$3:$A$203,$H$3:$H$203))</f>
        <v>297.47246687305056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256.66666666666669</v>
      </c>
      <c r="CD3" s="60">
        <f ca="1">AVERAGE(OFFSET($CC$3,0,0,'Données projet'!$E$12+1,1))-AVERAGE(OFFSET($H$3,0,0,'Données projet'!$E$12+1,1))</f>
        <v>353.53401919391234</v>
      </c>
      <c r="CE3" s="60">
        <f>IF('Données projet'!E12&gt;30,$CC$33-$H$33,LOOKUP('Données projet'!$E$12,$A$3:$A$203,CC3:CC203)-LOOKUP('Données projet'!$E$12,$A$3:$A$203,$H$3:$H$203))</f>
        <v>244.7141066773861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256.66666666666669</v>
      </c>
      <c r="CY3" s="60">
        <f ca="1">AVERAGE(OFFSET($CX$3,0,0,'Données projet'!$E$13+1,1))-AVERAGE(OFFSET($H$3,0,0,'Données projet'!$E$13+1,1))</f>
        <v>403.33327536410098</v>
      </c>
      <c r="CZ3" s="60">
        <f>IF('Données projet'!E13&gt;30,$CX$33-$H$33,LOOKUP('Données projet'!$E$13,$A$3:$A$203,CX3:CX203)-LOOKUP('Données projet'!$E$13,$A$3:$A$203,$H$3:$H$203))</f>
        <v>218.26721063098552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256.66666666666669</v>
      </c>
      <c r="DT3" s="60">
        <f ca="1">AVERAGE(OFFSET($DS$3,0,0,'Données projet'!$E$14+1,1))-AVERAGE(OFFSET($H$3,0,0,'Données projet'!$E$14+1,1))</f>
        <v>317.13087551964747</v>
      </c>
      <c r="DU3" s="60">
        <f>IF('Données projet'!E14&gt;30,$DS$33-$H$33,LOOKUP('Données projet'!$E$14,$A$3:$A$203,DS3:DS203)-LOOKUP('Données projet'!$E$14,$A$3:$A$203,$H$3:$H$203))</f>
        <v>293.43300041793185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0">
        <f>EM3+(EE3+EF3)*44/12</f>
        <v>256.66666666666669</v>
      </c>
      <c r="EO3" s="60">
        <f ca="1">AVERAGE(OFFSET($EN$3,0,0,'Données projet'!$E$15+1,1))-AVERAGE(OFFSET($H$3,0,0,'Données projet'!$E$15+1,1))</f>
        <v>253.03289960511904</v>
      </c>
      <c r="EP3" s="60">
        <f>IF('Données projet'!E15&gt;30,$EN$33-$H$33,LOOKUP('Données projet'!$E$15,$A$3:$A$203,EN3:EN203)-LOOKUP('Données projet'!$E$15,$A$3:$A$203,$H$3:$H$203))</f>
        <v>236.85088713056018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0">
        <f>FH3+(EZ3+FA3)*44/12</f>
        <v>256.66666666666669</v>
      </c>
      <c r="FJ3" s="60">
        <f ca="1">AVERAGE(OFFSET($FI$3,0,0,'Données projet'!$E$16+1,1))-AVERAGE(OFFSET($H$3,0,0,'Données projet'!$E$16+1,1))</f>
        <v>274.38315511766132</v>
      </c>
      <c r="FK3" s="60">
        <f>IF('Données projet'!E16&gt;30,$FI$33-$H$33,LOOKUP('Données projet'!$E$16,$A$3:$A$203,FI3:FI203)-LOOKUP('Données projet'!$E$16,$A$3:$A$203,$H$3:$H$203))</f>
        <v>255.96663040027175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0">
        <f>GC3+(FU3+FV3)*44/12</f>
        <v>256.66666666666669</v>
      </c>
      <c r="GE3" s="60">
        <f ca="1">AVERAGE(OFFSET($GD$3,0,0,'Données projet'!$E$17+1,1))-AVERAGE(OFFSET($H$3,0,0,'Données projet'!$E$17+1,1))</f>
        <v>445.81166342116865</v>
      </c>
      <c r="GF3" s="60">
        <f>IF('Données projet'!E17&gt;30,$GD$33-$H$33,LOOKUP('Données projet'!$E$17,$A$3:$A$203,GD3:GD203)-LOOKUP('Données projet'!$E$17,$A$3:$A$203,$H$3:$H$203))</f>
        <v>230.82970731138215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>
        <f>GU3*VLOOKUP('Données projet'!$B$18,Paramètres!$A$1:$I$89,3,0)*VLOOKUP('Données projet'!$B$18,Paramètres!$A$1:$I$89,5,0)</f>
        <v>0</v>
      </c>
      <c r="GW3" s="13">
        <v>0</v>
      </c>
      <c r="GX3" s="15">
        <f>(GV3+GW3)*0.475*44/12</f>
        <v>0</v>
      </c>
      <c r="GY3" s="60">
        <f>GX3+(GP3+GQ3)*44/12</f>
        <v>256.66666666666669</v>
      </c>
      <c r="GZ3" s="60">
        <f ca="1">AVERAGE(OFFSET($GY$3,0,0,'Données projet'!$E$18+1,1))-AVERAGE(OFFSET($H$3,0,0,'Données projet'!$E$18+1,1))</f>
        <v>289.19475369871481</v>
      </c>
      <c r="HA3" s="60">
        <f>IF('Données projet'!E18&gt;30,$GY$33-$H$33,LOOKUP('Données projet'!$E$18,$A$3:$A$203,GY3:GY203)-LOOKUP('Données projet'!$E$18,$A$3:$A$203,$H$3:$H$203))</f>
        <v>283.48738729114024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5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8">
        <f t="shared" ref="H4:H67" si="1">(B4+E4+F4)*44/12+(C4+D4)*0.475*44/12</f>
        <v>256.66666666666669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1.165946847124371</v>
      </c>
      <c r="P4" s="14">
        <f>EXP(-1.0587+0.8836*LN(O4)+0.284)</f>
        <v>0.52780002987456354</v>
      </c>
      <c r="Q4" s="22">
        <f t="shared" ref="Q4:Q34" si="2">(O4+P4)*0.475*44/12</f>
        <v>2.9499424774398109</v>
      </c>
      <c r="R4" s="60">
        <f t="shared" si="0"/>
        <v>260.83883136632869</v>
      </c>
      <c r="S4" s="60">
        <f ca="1">AVERAGE(OFFSET($R$3,0,0,'Données projet'!$E$9+1,1))-AVERAGE(OFFSET($H$3,0,0,'Données projet'!$E$9+1,1))</f>
        <v>456.86147223520601</v>
      </c>
      <c r="T4" s="60">
        <f>$T$3</f>
        <v>244.45149244446094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2.44</v>
      </c>
      <c r="AI4" s="14">
        <f>IF('Données projet'!$A$62&gt;35,AI3+AH4-AQ3,IF(A4&lt;'Données projet'!$A$62,$AF$205^A4,IF(A4='Données projet'!$A$62,'Données projet'!$B$62,AI3+AH4-AQ3)))</f>
        <v>1.1787268962565749</v>
      </c>
      <c r="AJ4" s="14">
        <f>AI4*VLOOKUP('Données projet'!$B$10,Paramètres!$A$1:$I$89,3,0)*VLOOKUP('Données projet'!$B$10,Paramètres!$A$1:$I$89,5,0)</f>
        <v>0.77230186242730781</v>
      </c>
      <c r="AK4" s="14">
        <f>EXP(-1.0587+0.8836*LN(AJ4)+0.284)</f>
        <v>0.36677584866496271</v>
      </c>
      <c r="AL4" s="22">
        <f t="shared" ref="AL4:AL67" si="4">(AJ4+AK4)*0.475*44/12</f>
        <v>1.983893680152371</v>
      </c>
      <c r="AM4" s="60">
        <f t="shared" ref="AM4:AM67" si="5">AL4+(AD4+AE4)*44/12</f>
        <v>259.87278256904125</v>
      </c>
      <c r="AN4" s="60">
        <f ca="1">AVERAGE(OFFSET($AM$3,0,0,'Données projet'!$E$10+1,1))-AVERAGE(OFFSET($H$3,0,0,'Données projet'!$E$10+1,1))</f>
        <v>170.79567854714986</v>
      </c>
      <c r="AO4" s="60">
        <f>$AO$3</f>
        <v>155.92788004111191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0.9</v>
      </c>
      <c r="BD4" s="13">
        <f>IF('Données projet'!$A$88&gt;35,BD3+BC4-BL3,IF(A4&lt;'Données projet'!$A$88,$BA$205^A4,IF(A4='Données projet'!$A$88,'Données projet'!$B$88,BD3+BC4-BL3)))</f>
        <v>1.2457309396155174</v>
      </c>
      <c r="BE4" s="14">
        <f>BD4*VLOOKUP('Données projet'!$B$11,Paramètres!$A$1:$I$89,3,0)*VLOOKUP('Données projet'!$B$11,Paramètres!$A$1:$I$89,5,0)</f>
        <v>1.0105369382161078</v>
      </c>
      <c r="BF4" s="14">
        <f>EXP(-1.0587+0.8836*LN(BE4)+0.284)</f>
        <v>0.46513003316107315</v>
      </c>
      <c r="BG4" s="22">
        <f t="shared" ref="BG4:BG67" si="7">(BE4+BF4)*0.475*44/12</f>
        <v>2.5701199751485899</v>
      </c>
      <c r="BH4" s="60">
        <f t="shared" ref="BH4:BH67" si="8">BG4+(AY4+AZ4)*44/12</f>
        <v>260.45900886403746</v>
      </c>
      <c r="BI4" s="60">
        <f ca="1">AVERAGE(OFFSET($BH$3,0,0,'Données projet'!$E$11+1,1))-AVERAGE(OFFSET($H$3,0,0,'Données projet'!$E$11+1,1))</f>
        <v>256.19915261735281</v>
      </c>
      <c r="BJ4" s="60">
        <f>$BJ$3</f>
        <v>297.47246687305056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2.2649572649572649</v>
      </c>
      <c r="BY4" s="13">
        <f>IF('Données projet'!$A$114&gt;35,BY3+BX4-CG3,IF(A4&lt;'Données projet'!$A$114,$BV$205^A4,IF(A4='Données projet'!$A$114,'Données projet'!$B$114,BY3+BX4-CG3)))</f>
        <v>1.2649598798623627</v>
      </c>
      <c r="BZ4" s="14">
        <f>BY4*VLOOKUP('Données projet'!$B$12,Paramètres!$A$1:$I$89,3,0)*VLOOKUP('Données projet'!$B$12,Paramètres!$A$1:$I$89,5,0)</f>
        <v>1.2037358216770244</v>
      </c>
      <c r="CA4" s="14">
        <f>EXP(-1.0587+0.8836*LN(BZ4)+0.284)</f>
        <v>0.54288697199953284</v>
      </c>
      <c r="CB4" s="22">
        <f t="shared" ref="CB4:CB67" si="10">(BZ4+CA4)*0.475*44/12</f>
        <v>3.0420346989866704</v>
      </c>
      <c r="CC4" s="60">
        <f t="shared" ref="CC4:CC67" si="11">CB4+(BT4+BU4)*44/12</f>
        <v>260.93092358787555</v>
      </c>
      <c r="CD4" s="60">
        <f ca="1">AVERAGE(OFFSET($CC$3,0,0,'Données projet'!$E$12+1,1))-AVERAGE(OFFSET($H$3,0,0,'Données projet'!$E$12+1,1))</f>
        <v>353.53401919391234</v>
      </c>
      <c r="CE4" s="60">
        <f>$CE$3</f>
        <v>244.7141066773861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2.1</v>
      </c>
      <c r="CT4" s="13">
        <f>IF('Données projet'!$A$140&gt;35,CT3+CS4-DB3,IF(A4&lt;'Données projet'!$A$140,$CQ$205^A4,IF(A4='Données projet'!$A$140,'Données projet'!$B$140,CT3+CS4-DB3)))</f>
        <v>1.2054868146447177</v>
      </c>
      <c r="CU4" s="18">
        <f>CT4*VLOOKUP('Données projet'!$B$13,Paramètres!$A$1:$I$89,3,0)*VLOOKUP('Données projet'!$B$13,Paramètres!$A$1:$I$89,5,0)</f>
        <v>1.0155020926567102</v>
      </c>
      <c r="CV4" s="14">
        <f>EXP(-1.0587+0.8836*LN(CU4)+0.284)</f>
        <v>0.46714880239274614</v>
      </c>
      <c r="CW4" s="22">
        <f t="shared" ref="CW4:CW67" si="13">(CU4+CV4)*0.475*44/12</f>
        <v>2.5822836422111366</v>
      </c>
      <c r="CX4" s="60">
        <f t="shared" ref="CX4:CX67" si="14">CW4+(CO4+CP4)*44/12</f>
        <v>260.47117253109997</v>
      </c>
      <c r="CY4" s="60">
        <f ca="1">AVERAGE(OFFSET($CX$3,0,0,'Données projet'!$E$13+1,1))-AVERAGE(OFFSET($H$3,0,0,'Données projet'!$E$13+1,1))</f>
        <v>403.33327536410098</v>
      </c>
      <c r="CZ4" s="60">
        <f>$CZ$3</f>
        <v>218.26721063098552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2.4933333333333332</v>
      </c>
      <c r="DO4" s="13">
        <f>IF('Données projet'!$A$166&gt;35,DO3+DN4-DW3,IF(A4&lt;'Données projet'!$A$166,$DL$205^A4,IF(A4='Données projet'!$A$166,'Données projet'!$B$166,DO3+DN4-DW3)))</f>
        <v>1.2730870686066207</v>
      </c>
      <c r="DP4" s="18">
        <f>DO4*VLOOKUP('Données projet'!$B$14,Paramètres!$A$1:$I$89,3,0)*VLOOKUP('Données projet'!$B$14,Paramètres!$A$1:$I$89,5,0)</f>
        <v>1.0128680717834275</v>
      </c>
      <c r="DQ4" s="14">
        <f>EXP(-1.0587+0.8836*LN(DP4)+0.284)</f>
        <v>0.46607798613582108</v>
      </c>
      <c r="DR4" s="22">
        <f t="shared" ref="DR4:DR67" si="16">(DP4+DQ4)*0.475*44/12</f>
        <v>2.5758310508760247</v>
      </c>
      <c r="DS4" s="60">
        <f t="shared" ref="DS4:DS67" si="17">DR4+(DJ4+DK4)*44/12</f>
        <v>260.4647199397649</v>
      </c>
      <c r="DT4" s="60">
        <f ca="1">AVERAGE(OFFSET($DS$3,0,0,'Données projet'!$E$14+1,1))-AVERAGE(OFFSET($H$3,0,0,'Données projet'!$E$14+1,1))</f>
        <v>317.13087551964747</v>
      </c>
      <c r="DU4" s="60">
        <f>$DU$3</f>
        <v>293.43300041793185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0.59333333333333338</v>
      </c>
      <c r="EJ4" s="13">
        <f>IF('Données projet'!$A$192&gt;35,EJ3+EI4-ER3,IF(A4&lt;'Données projet'!$A$192,$EG$205^A4,IF(A4='Données projet'!$A$192,'Données projet'!$B$192,EJ3+EI4-ER3)))</f>
        <v>1.156891598310152</v>
      </c>
      <c r="EK4" s="18">
        <f>EJ4*VLOOKUP('Données projet'!$B$15,Paramètres!$A$1:$I$89,3,0)*VLOOKUP('Données projet'!$B$15,Paramètres!$A$1:$I$89,5,0)</f>
        <v>0.92042295561555687</v>
      </c>
      <c r="EL4" s="14">
        <f>EXP(-1.0587+0.8836*LN(EK4)+0.284)</f>
        <v>0.42828352474600018</v>
      </c>
      <c r="EM4" s="22">
        <f t="shared" ref="EM4:EM67" si="19">(EK4+EL4)*0.475*44/12</f>
        <v>2.3489971199630455</v>
      </c>
      <c r="EN4" s="60">
        <f t="shared" ref="EN4:EN67" si="20">EM4+(EE4+EF4)*44/12</f>
        <v>260.23788600885189</v>
      </c>
      <c r="EO4" s="60">
        <f ca="1">AVERAGE(OFFSET($EN$3,0,0,'Données projet'!$E$15+1,1))-AVERAGE(OFFSET($H$3,0,0,'Données projet'!$E$15+1,1))</f>
        <v>253.03289960511904</v>
      </c>
      <c r="EP4" s="60">
        <f>$EP$3</f>
        <v>236.85088713056018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0.59333333333333338</v>
      </c>
      <c r="FE4" s="13">
        <f>IF('Données projet'!$A$218&gt;35,FE3+FD4-FM3,IF(A4&lt;'Données projet'!$A$218,$FB$205^A4,IF(A4='Données projet'!$A$218,'Données projet'!$B$218,FE3+FD4-FM3)))</f>
        <v>1.156891598310152</v>
      </c>
      <c r="FF4" s="18">
        <f>FE4*VLOOKUP('Données projet'!$B$16,Paramètres!$A$1:$I$89,3,0)*VLOOKUP('Données projet'!$B$16,Paramètres!$A$1:$I$89,5,0)</f>
        <v>1.010660500283749</v>
      </c>
      <c r="FG4" s="14">
        <f>EXP(-1.0587+0.8836*LN(FF4)+0.284)</f>
        <v>0.46518028592733834</v>
      </c>
      <c r="FH4" s="22">
        <f t="shared" ref="FH4:FH67" si="22">(FF4+FG4)*0.475*44/12</f>
        <v>2.5704227026509772</v>
      </c>
      <c r="FI4" s="60">
        <f t="shared" ref="FI4:FI67" si="23">FH4+(EZ4+FA4)*44/12</f>
        <v>260.45931159153986</v>
      </c>
      <c r="FJ4" s="60">
        <f ca="1">AVERAGE(OFFSET($FI$3,0,0,'Données projet'!$E$16+1,1))-AVERAGE(OFFSET($H$3,0,0,'Données projet'!$E$16+1,1))</f>
        <v>274.38315511766132</v>
      </c>
      <c r="FK4" s="60">
        <f>$FK$3</f>
        <v>255.96663040027175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0.16666666666666666</v>
      </c>
      <c r="FZ4" s="13">
        <f>IF('Données projet'!$A$244&gt;35,FZ3+FY4-GH3,IF(A4&lt;'Données projet'!$A$244,$FW$205^A4,IF(A4='Données projet'!$A$244,'Données projet'!$B$244,FZ3+FY4-GH3)))</f>
        <v>1.0629350704110543</v>
      </c>
      <c r="GA4" s="18">
        <f>FZ4*VLOOKUP('Données projet'!$B$17,Paramètres!$A$1:$I$89,3,0)*VLOOKUP('Données projet'!$B$17,Paramètres!$A$1:$I$89,5,0)</f>
        <v>0.91199829041268465</v>
      </c>
      <c r="GB4" s="14">
        <f>EXP(-1.0587+0.8836*LN(GA4)+0.284)</f>
        <v>0.42481787741457866</v>
      </c>
      <c r="GC4" s="22">
        <f t="shared" ref="GC4:GC67" si="25">(GA4+GB4)*0.475*44/12</f>
        <v>2.3282881589658171</v>
      </c>
      <c r="GD4" s="60">
        <f t="shared" ref="GD4:GD67" si="26">GC4+(FU4+FV4)*44/12</f>
        <v>260.21717704785465</v>
      </c>
      <c r="GE4" s="60">
        <f ca="1">AVERAGE(OFFSET($GD$3,0,0,'Données projet'!$E$17+1,1))-AVERAGE(OFFSET($H$3,0,0,'Données projet'!$E$17+1,1))</f>
        <v>445.81166342116865</v>
      </c>
      <c r="GF4" s="60">
        <f>$GF$3</f>
        <v>230.82970731138215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2.6666666666666665</v>
      </c>
      <c r="GU4" s="13">
        <f>IF('Données projet'!$A$270&gt;35,GU3+GT4-HC3,IF(A4&lt;'Données projet'!$A$270,$GR$205^A4,IF(A4='Données projet'!$A$270,'Données projet'!$B$270,GU3+GT4-HC3)))</f>
        <v>1.2788040393997409</v>
      </c>
      <c r="GV4" s="18">
        <f>GU4*VLOOKUP('Données projet'!$B$18,Paramètres!$A$1:$I$89,3,0)*VLOOKUP('Données projet'!$B$18,Paramètres!$A$1:$I$89,5,0)</f>
        <v>0.99746715073179792</v>
      </c>
      <c r="GW4" s="14">
        <f>EXP(-1.0587+0.8836*LN(GV4)+0.284)</f>
        <v>0.45981048445793882</v>
      </c>
      <c r="GX4" s="22">
        <f t="shared" ref="GX4:GX67" si="28">(GV4+GW4)*0.475*44/12</f>
        <v>2.5380918812887914</v>
      </c>
      <c r="GY4" s="60">
        <f t="shared" ref="GY4:GY67" si="29">GX4+(GP4+GQ4)*44/12</f>
        <v>260.42698077017764</v>
      </c>
      <c r="GZ4" s="60">
        <f ca="1">AVERAGE(OFFSET($GY$3,0,0,'Données projet'!$E$18+1,1))-AVERAGE(OFFSET($H$3,0,0,'Données projet'!$E$18+1,1))</f>
        <v>289.19475369871481</v>
      </c>
      <c r="HA4" s="60">
        <f>$HA$3</f>
        <v>283.48738729114024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projet'!$B$18,Paramètres!$A$1:$I$89,3,0)*0.475*44/12</f>
        <v>0</v>
      </c>
      <c r="HH4" s="23">
        <f>EXP(-LN(2)/25)*HH3+(1-EXP(-LN(2)/25))/(LN(2)/25)*Calculateur!HC4*Calculateur!HE4*VLOOKUP('Données projet'!$B$18,Paramètres!$A$1:$I$89,3,0)*0.475*44/12</f>
        <v>0</v>
      </c>
      <c r="HI4" s="23">
        <f>EXP(-LN(2)/2)*HI3+(1-EXP(-LN(2)/2))/(LN(2)/2)*HC4*HF4*VLOOKUP('Données projet'!$B$18,Paramètres!$A$1:$I$89,3,0)*0.475*44/12</f>
        <v>0</v>
      </c>
      <c r="HJ4" s="24">
        <f t="shared" ref="HJ4:HJ67" si="30">SUM(HG4:HI4)</f>
        <v>0</v>
      </c>
    </row>
    <row r="5" spans="1:218" s="5" customFormat="1" x14ac:dyDescent="0.3">
      <c r="A5" s="11">
        <f t="shared" ref="A5:A68" si="31">A4+1</f>
        <v>2</v>
      </c>
      <c r="B5" s="75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8">
        <f t="shared" si="1"/>
        <v>256.66666666666669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1.4055335507850097</v>
      </c>
      <c r="P5" s="14">
        <f t="shared" ref="P5:P68" si="33">EXP(-1.0587+0.8836*LN(O5)+0.284)</f>
        <v>0.62256480317525631</v>
      </c>
      <c r="Q5" s="22">
        <f t="shared" si="2"/>
        <v>3.5322712998141292</v>
      </c>
      <c r="R5" s="60">
        <f t="shared" si="0"/>
        <v>262.64338241092526</v>
      </c>
      <c r="S5" s="60">
        <f ca="1">AVERAGE(OFFSET($R$3,0,0,'Données projet'!$E$9+1,1))-AVERAGE(OFFSET($H$3,0,0,'Données projet'!$E$9+1,1))</f>
        <v>456.86147223520601</v>
      </c>
      <c r="T5" s="60">
        <f t="shared" ref="T5:T68" si="34">$T$3</f>
        <v>244.45149244446094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2.44</v>
      </c>
      <c r="AI5" s="14">
        <f>IF('Données projet'!$A$62&gt;35,AI4+AH5-AQ4,IF(A5&lt;'Données projet'!$A$62,$AF$205^A5,IF(A5='Données projet'!$A$62,'Données projet'!$B$62,AI4+AH5-AQ4)))</f>
        <v>1.3893970959586583</v>
      </c>
      <c r="AJ5" s="14">
        <f>AI5*VLOOKUP('Données projet'!$B$10,Paramètres!$A$1:$I$89,3,0)*VLOOKUP('Données projet'!$B$10,Paramètres!$A$1:$I$89,5,0)</f>
        <v>0.91033297727211304</v>
      </c>
      <c r="AK5" s="14">
        <f t="shared" ref="AK5:AK68" si="35">EXP(-1.0587+0.8836*LN(AJ5)+0.284)</f>
        <v>0.42413237883449673</v>
      </c>
      <c r="AL5" s="22">
        <f t="shared" si="4"/>
        <v>2.3241938285523456</v>
      </c>
      <c r="AM5" s="60">
        <f t="shared" si="5"/>
        <v>261.43530493966347</v>
      </c>
      <c r="AN5" s="60">
        <f ca="1">AVERAGE(OFFSET($AM$3,0,0,'Données projet'!$E$10+1,1))-AVERAGE(OFFSET($H$3,0,0,'Données projet'!$E$10+1,1))</f>
        <v>170.79567854714986</v>
      </c>
      <c r="AO5" s="60">
        <f t="shared" ref="AO5:AO68" si="36">$AO$3</f>
        <v>155.92788004111191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0.9</v>
      </c>
      <c r="BD5" s="13">
        <f>IF('Données projet'!$A$88&gt;35,BD4+BC5-BL4,IF(A5&lt;'Données projet'!$A$88,$BA$205^A5,IF(A5='Données projet'!$A$88,'Données projet'!$B$88,BD4+BC5-BL4)))</f>
        <v>1.5518455739153598</v>
      </c>
      <c r="BE5" s="14">
        <f>BD5*VLOOKUP('Données projet'!$B$11,Paramètres!$A$1:$I$89,3,0)*VLOOKUP('Données projet'!$B$11,Paramètres!$A$1:$I$89,5,0)</f>
        <v>1.2588571295601401</v>
      </c>
      <c r="BF5" s="14">
        <f t="shared" ref="BF5:BF68" si="37">EXP(-1.0587+0.8836*LN(BE5)+0.284)</f>
        <v>0.56479552972512193</v>
      </c>
      <c r="BG5" s="22">
        <f t="shared" si="7"/>
        <v>3.1761950482551646</v>
      </c>
      <c r="BH5" s="60">
        <f t="shared" si="8"/>
        <v>262.28730615936632</v>
      </c>
      <c r="BI5" s="60">
        <f ca="1">AVERAGE(OFFSET($BH$3,0,0,'Données projet'!$E$11+1,1))-AVERAGE(OFFSET($H$3,0,0,'Données projet'!$E$11+1,1))</f>
        <v>256.19915261735281</v>
      </c>
      <c r="BJ5" s="60">
        <f t="shared" ref="BJ5:BJ68" si="38">$BJ$3</f>
        <v>297.47246687305056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2.2649572649572649</v>
      </c>
      <c r="BY5" s="13">
        <f>IF('Données projet'!$A$114&gt;35,BY4+BX5-CG4,IF(A5&lt;'Données projet'!$A$114,$BV$205^A5,IF(A5='Données projet'!$A$114,'Données projet'!$B$114,BY4+BX5-CG4)))</f>
        <v>1.6001234976614032</v>
      </c>
      <c r="BZ5" s="14">
        <f>BY5*VLOOKUP('Données projet'!$B$12,Paramètres!$A$1:$I$89,3,0)*VLOOKUP('Données projet'!$B$12,Paramètres!$A$1:$I$89,5,0)</f>
        <v>1.5226775203745913</v>
      </c>
      <c r="CA5" s="14">
        <f t="shared" ref="CA5:CA68" si="39">EXP(-1.0587+0.8836*LN(BZ5)+0.284)</f>
        <v>0.66819687050841592</v>
      </c>
      <c r="CB5" s="22">
        <f t="shared" si="10"/>
        <v>3.8157728974545706</v>
      </c>
      <c r="CC5" s="60">
        <f t="shared" si="11"/>
        <v>262.92688400856571</v>
      </c>
      <c r="CD5" s="60">
        <f ca="1">AVERAGE(OFFSET($CC$3,0,0,'Données projet'!$E$12+1,1))-AVERAGE(OFFSET($H$3,0,0,'Données projet'!$E$12+1,1))</f>
        <v>353.53401919391234</v>
      </c>
      <c r="CE5" s="60">
        <f t="shared" ref="CE5:CE68" si="40">$CE$3</f>
        <v>244.7141066773861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2.1</v>
      </c>
      <c r="CT5" s="13">
        <f>IF('Données projet'!$A$140&gt;35,CT4+CS5-DB4,IF(A5&lt;'Données projet'!$A$140,$CQ$205^A5,IF(A5='Données projet'!$A$140,'Données projet'!$B$140,CT4+CS5-DB4)))</f>
        <v>1.4531984602822681</v>
      </c>
      <c r="CU5" s="18">
        <f>CT5*VLOOKUP('Données projet'!$B$13,Paramètres!$A$1:$I$89,3,0)*VLOOKUP('Données projet'!$B$13,Paramètres!$A$1:$I$89,5,0)</f>
        <v>1.2241743829417828</v>
      </c>
      <c r="CV5" s="14">
        <f t="shared" ref="CV5:CV68" si="41">EXP(-1.0587+0.8836*LN(CU5)+0.284)</f>
        <v>0.55102384568700224</v>
      </c>
      <c r="CW5" s="22">
        <f t="shared" si="13"/>
        <v>3.0918035815284672</v>
      </c>
      <c r="CX5" s="60">
        <f t="shared" si="14"/>
        <v>262.20291469263964</v>
      </c>
      <c r="CY5" s="60">
        <f ca="1">AVERAGE(OFFSET($CX$3,0,0,'Données projet'!$E$13+1,1))-AVERAGE(OFFSET($H$3,0,0,'Données projet'!$E$13+1,1))</f>
        <v>403.33327536410098</v>
      </c>
      <c r="CZ5" s="60">
        <f t="shared" ref="CZ5:CZ68" si="42">$CZ$3</f>
        <v>218.26721063098552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2.4933333333333332</v>
      </c>
      <c r="DO5" s="13">
        <f>IF('Données projet'!$A$166&gt;35,DO4+DN5-DW4,IF(A5&lt;'Données projet'!$A$166,$DL$205^A5,IF(A5='Données projet'!$A$166,'Données projet'!$B$166,DO4+DN5-DW4)))</f>
        <v>1.6207506842533985</v>
      </c>
      <c r="DP5" s="18">
        <f>DO5*VLOOKUP('Données projet'!$B$14,Paramètres!$A$1:$I$89,3,0)*VLOOKUP('Données projet'!$B$14,Paramètres!$A$1:$I$89,5,0)</f>
        <v>1.2894692443920039</v>
      </c>
      <c r="DQ5" s="14">
        <f t="shared" ref="DQ5:DQ68" si="43">EXP(-1.0587+0.8836*LN(DP5)+0.284)</f>
        <v>0.57691418040252707</v>
      </c>
      <c r="DR5" s="22">
        <f t="shared" si="16"/>
        <v>3.2506177981838085</v>
      </c>
      <c r="DS5" s="60">
        <f t="shared" si="17"/>
        <v>262.36172890929492</v>
      </c>
      <c r="DT5" s="60">
        <f ca="1">AVERAGE(OFFSET($DS$3,0,0,'Données projet'!$E$14+1,1))-AVERAGE(OFFSET($H$3,0,0,'Données projet'!$E$14+1,1))</f>
        <v>317.13087551964747</v>
      </c>
      <c r="DU5" s="60">
        <f t="shared" ref="DU5:DU68" si="44">$DU$3</f>
        <v>293.43300041793185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0.59333333333333338</v>
      </c>
      <c r="EJ5" s="13">
        <f>IF('Données projet'!$A$192&gt;35,EJ4+EI5-ER4,IF(A5&lt;'Données projet'!$A$192,$EG$205^A5,IF(A5='Données projet'!$A$192,'Données projet'!$B$192,EJ4+EI5-ER4)))</f>
        <v>1.338398170240618</v>
      </c>
      <c r="EK5" s="18">
        <f>EJ5*VLOOKUP('Données projet'!$B$15,Paramètres!$A$1:$I$89,3,0)*VLOOKUP('Données projet'!$B$15,Paramètres!$A$1:$I$89,5,0)</f>
        <v>1.0648295842434357</v>
      </c>
      <c r="EL5" s="14">
        <f t="shared" ref="EL5:EL68" si="45">EXP(-1.0587+0.8836*LN(EK5)+0.284)</f>
        <v>0.48714333937201731</v>
      </c>
      <c r="EM5" s="22">
        <f t="shared" si="19"/>
        <v>2.7030195086302471</v>
      </c>
      <c r="EN5" s="60">
        <f t="shared" si="20"/>
        <v>261.81413061974138</v>
      </c>
      <c r="EO5" s="60">
        <f ca="1">AVERAGE(OFFSET($EN$3,0,0,'Données projet'!$E$15+1,1))-AVERAGE(OFFSET($H$3,0,0,'Données projet'!$E$15+1,1))</f>
        <v>253.03289960511904</v>
      </c>
      <c r="EP5" s="60">
        <f t="shared" ref="EP5:EP68" si="46">$EP$3</f>
        <v>236.85088713056018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0.59333333333333338</v>
      </c>
      <c r="FE5" s="13">
        <f>IF('Données projet'!$A$218&gt;35,FE4+FD5-FM4,IF(A5&lt;'Données projet'!$A$218,$FB$205^A5,IF(A5='Données projet'!$A$218,'Données projet'!$B$218,FE4+FD5-FM4)))</f>
        <v>1.338398170240618</v>
      </c>
      <c r="FF5" s="18">
        <f>FE5*VLOOKUP('Données projet'!$B$16,Paramètres!$A$1:$I$89,3,0)*VLOOKUP('Données projet'!$B$16,Paramètres!$A$1:$I$89,5,0)</f>
        <v>1.1692246415222041</v>
      </c>
      <c r="FG5" s="14">
        <f t="shared" ref="FG5:FG68" si="47">EXP(-1.0587+0.8836*LN(FF5)+0.284)</f>
        <v>0.52911089220877106</v>
      </c>
      <c r="FH5" s="22">
        <f t="shared" si="22"/>
        <v>2.9579343879147815</v>
      </c>
      <c r="FI5" s="60">
        <f t="shared" si="23"/>
        <v>262.06904549902595</v>
      </c>
      <c r="FJ5" s="60">
        <f ca="1">AVERAGE(OFFSET($FI$3,0,0,'Données projet'!$E$16+1,1))-AVERAGE(OFFSET($H$3,0,0,'Données projet'!$E$16+1,1))</f>
        <v>274.38315511766132</v>
      </c>
      <c r="FK5" s="60">
        <f t="shared" ref="FK5:FK68" si="48">$FK$3</f>
        <v>255.96663040027175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0.16666666666666666</v>
      </c>
      <c r="FZ5" s="13">
        <f>IF('Données projet'!$A$244&gt;35,FZ4+FY5-GH4,IF(A5&lt;'Données projet'!$A$244,$FW$205^A5,IF(A5='Données projet'!$A$244,'Données projet'!$B$244,FZ4+FY5-GH4)))</f>
        <v>1.129830963909753</v>
      </c>
      <c r="GA5" s="18">
        <f>FZ5*VLOOKUP('Données projet'!$B$17,Paramètres!$A$1:$I$89,3,0)*VLOOKUP('Données projet'!$B$17,Paramètres!$A$1:$I$89,5,0)</f>
        <v>0.96939496703456829</v>
      </c>
      <c r="GB5" s="14">
        <f t="shared" ref="GB5:GB68" si="49">EXP(-1.0587+0.8836*LN(GA5)+0.284)</f>
        <v>0.44835718823967796</v>
      </c>
      <c r="GC5" s="22">
        <f t="shared" si="25"/>
        <v>2.4692516704359786</v>
      </c>
      <c r="GD5" s="60">
        <f t="shared" si="26"/>
        <v>261.58036278154714</v>
      </c>
      <c r="GE5" s="60">
        <f ca="1">AVERAGE(OFFSET($GD$3,0,0,'Données projet'!$E$17+1,1))-AVERAGE(OFFSET($H$3,0,0,'Données projet'!$E$17+1,1))</f>
        <v>445.81166342116865</v>
      </c>
      <c r="GF5" s="60">
        <f t="shared" ref="GF5:GF68" si="50">$GF$3</f>
        <v>230.82970731138215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2.6666666666666665</v>
      </c>
      <c r="GU5" s="13">
        <f>IF('Données projet'!$A$270&gt;35,GU4+GT5-HC4,IF(A5&lt;'Données projet'!$A$270,$GR$205^A5,IF(A5='Données projet'!$A$270,'Données projet'!$B$270,GU4+GT5-HC4)))</f>
        <v>1.6353397711850939</v>
      </c>
      <c r="GV5" s="18">
        <f>GU5*VLOOKUP('Données projet'!$B$18,Paramètres!$A$1:$I$89,3,0)*VLOOKUP('Données projet'!$B$18,Paramètres!$A$1:$I$89,5,0)</f>
        <v>1.2755650215243732</v>
      </c>
      <c r="GW5" s="14">
        <f t="shared" ref="GW5:GW68" si="51">EXP(-1.0587+0.8836*LN(GV5)+0.284)</f>
        <v>0.57141400910743001</v>
      </c>
      <c r="GX5" s="22">
        <f t="shared" si="28"/>
        <v>3.2168218116837237</v>
      </c>
      <c r="GY5" s="60">
        <f t="shared" si="29"/>
        <v>262.32793292279484</v>
      </c>
      <c r="GZ5" s="60">
        <f ca="1">AVERAGE(OFFSET($GY$3,0,0,'Données projet'!$E$18+1,1))-AVERAGE(OFFSET($H$3,0,0,'Données projet'!$E$18+1,1))</f>
        <v>289.19475369871481</v>
      </c>
      <c r="HA5" s="60">
        <f t="shared" ref="HA5:HA68" si="52">$HA$3</f>
        <v>283.48738729114024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projet'!$B$18,Paramètres!$A$1:$I$89,3,0)*0.475*44/12</f>
        <v>0</v>
      </c>
      <c r="HH5" s="23">
        <f>EXP(-LN(2)/25)*HH4+(1-EXP(-LN(2)/25))/(LN(2)/25)*Calculateur!HC5*Calculateur!HE5*VLOOKUP('Données projet'!$B$18,Paramètres!$A$1:$I$89,3,0)*0.475*44/12</f>
        <v>0</v>
      </c>
      <c r="HI5" s="23">
        <f>EXP(-LN(2)/2)*HI4+(1-EXP(-LN(2)/2))/(LN(2)/2)*HC5*HF5*VLOOKUP('Données projet'!$B$18,Paramètres!$A$1:$I$89,3,0)*0.475*44/12</f>
        <v>0</v>
      </c>
      <c r="HJ5" s="24">
        <f t="shared" si="30"/>
        <v>0</v>
      </c>
    </row>
    <row r="6" spans="1:218" s="5" customFormat="1" x14ac:dyDescent="0.3">
      <c r="A6" s="11">
        <f t="shared" si="31"/>
        <v>3</v>
      </c>
      <c r="B6" s="75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8">
        <f t="shared" si="1"/>
        <v>256.66666666666669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1.694352163012101</v>
      </c>
      <c r="P6" s="14">
        <f t="shared" si="33"/>
        <v>0.73434428233124405</v>
      </c>
      <c r="Q6" s="22">
        <f t="shared" si="2"/>
        <v>4.2299796423063247</v>
      </c>
      <c r="R6" s="60">
        <f t="shared" si="0"/>
        <v>264.56331297563963</v>
      </c>
      <c r="S6" s="60">
        <f ca="1">AVERAGE(OFFSET($R$3,0,0,'Données projet'!$E$9+1,1))-AVERAGE(OFFSET($H$3,0,0,'Données projet'!$E$9+1,1))</f>
        <v>456.86147223520601</v>
      </c>
      <c r="T6" s="60">
        <f t="shared" si="34"/>
        <v>244.45149244446094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2.44</v>
      </c>
      <c r="AI6" s="14">
        <f>IF('Données projet'!$A$62&gt;35,AI5+AH6-AQ5,IF(A6&lt;'Données projet'!$A$62,$AF$205^A6,IF(A6='Données projet'!$A$62,'Données projet'!$B$62,AI5+AH6-AQ5)))</f>
        <v>1.6377197265872478</v>
      </c>
      <c r="AJ6" s="14">
        <f>AI6*VLOOKUP('Données projet'!$B$10,Paramètres!$A$1:$I$89,3,0)*VLOOKUP('Données projet'!$B$10,Paramètres!$A$1:$I$89,5,0)</f>
        <v>1.0730339648599647</v>
      </c>
      <c r="AK6" s="14">
        <f t="shared" si="35"/>
        <v>0.49045834241973452</v>
      </c>
      <c r="AL6" s="22">
        <f t="shared" si="4"/>
        <v>2.7230824351788088</v>
      </c>
      <c r="AM6" s="60">
        <f t="shared" si="5"/>
        <v>263.05641576851212</v>
      </c>
      <c r="AN6" s="60">
        <f ca="1">AVERAGE(OFFSET($AM$3,0,0,'Données projet'!$E$10+1,1))-AVERAGE(OFFSET($H$3,0,0,'Données projet'!$E$10+1,1))</f>
        <v>170.79567854714986</v>
      </c>
      <c r="AO6" s="60">
        <f t="shared" si="36"/>
        <v>155.92788004111191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0.9</v>
      </c>
      <c r="BD6" s="13">
        <f>IF('Données projet'!$A$88&gt;35,BD5+BC6-BL5,IF(A6&lt;'Données projet'!$A$88,$BA$205^A6,IF(A6='Données projet'!$A$88,'Données projet'!$B$88,BD5+BC6-BL5)))</f>
        <v>1.9331820449317632</v>
      </c>
      <c r="BE6" s="14">
        <f>BD6*VLOOKUP('Données projet'!$B$11,Paramètres!$A$1:$I$89,3,0)*VLOOKUP('Données projet'!$B$11,Paramètres!$A$1:$I$89,5,0)</f>
        <v>1.5681972748486466</v>
      </c>
      <c r="BF6" s="14">
        <f t="shared" si="37"/>
        <v>0.68581679886281277</v>
      </c>
      <c r="BG6" s="22">
        <f t="shared" si="7"/>
        <v>3.9257411783807914</v>
      </c>
      <c r="BH6" s="60">
        <f t="shared" si="8"/>
        <v>264.25907451171412</v>
      </c>
      <c r="BI6" s="60">
        <f ca="1">AVERAGE(OFFSET($BH$3,0,0,'Données projet'!$E$11+1,1))-AVERAGE(OFFSET($H$3,0,0,'Données projet'!$E$11+1,1))</f>
        <v>256.19915261735281</v>
      </c>
      <c r="BJ6" s="60">
        <f t="shared" si="38"/>
        <v>297.47246687305056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2.2649572649572649</v>
      </c>
      <c r="BY6" s="13">
        <f>IF('Données projet'!$A$114&gt;35,BY5+BX6-CG5,IF(A6&lt;'Données projet'!$A$114,$BV$205^A6,IF(A6='Données projet'!$A$114,'Données projet'!$B$114,BY5+BX6-CG5)))</f>
        <v>2.024092027366712</v>
      </c>
      <c r="BZ6" s="14">
        <f>BY6*VLOOKUP('Données projet'!$B$12,Paramètres!$A$1:$I$89,3,0)*VLOOKUP('Données projet'!$B$12,Paramètres!$A$1:$I$89,5,0)</f>
        <v>1.9261259732421634</v>
      </c>
      <c r="CA6" s="14">
        <f t="shared" si="39"/>
        <v>0.8224309677441014</v>
      </c>
      <c r="CB6" s="22">
        <f t="shared" si="10"/>
        <v>4.7870700055510769</v>
      </c>
      <c r="CC6" s="60">
        <f t="shared" si="11"/>
        <v>265.12040333888439</v>
      </c>
      <c r="CD6" s="60">
        <f ca="1">AVERAGE(OFFSET($CC$3,0,0,'Données projet'!$E$12+1,1))-AVERAGE(OFFSET($H$3,0,0,'Données projet'!$E$12+1,1))</f>
        <v>353.53401919391234</v>
      </c>
      <c r="CE6" s="60">
        <f t="shared" si="40"/>
        <v>244.7141066773861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2.1</v>
      </c>
      <c r="CT6" s="13">
        <f>IF('Données projet'!$A$140&gt;35,CT5+CS6-DB5,IF(A6&lt;'Données projet'!$A$140,$CQ$205^A6,IF(A6='Données projet'!$A$140,'Données projet'!$B$140,CT5+CS6-DB5)))</f>
        <v>1.7518115829322798</v>
      </c>
      <c r="CU6" s="18">
        <f>CT6*VLOOKUP('Données projet'!$B$13,Paramètres!$A$1:$I$89,3,0)*VLOOKUP('Données projet'!$B$13,Paramètres!$A$1:$I$89,5,0)</f>
        <v>1.4757260774621526</v>
      </c>
      <c r="CV6" s="14">
        <f t="shared" si="41"/>
        <v>0.64995837934402878</v>
      </c>
      <c r="CW6" s="22">
        <f t="shared" si="13"/>
        <v>3.7022337622707653</v>
      </c>
      <c r="CX6" s="60">
        <f t="shared" si="14"/>
        <v>264.03556709560405</v>
      </c>
      <c r="CY6" s="60">
        <f ca="1">AVERAGE(OFFSET($CX$3,0,0,'Données projet'!$E$13+1,1))-AVERAGE(OFFSET($H$3,0,0,'Données projet'!$E$13+1,1))</f>
        <v>403.33327536410098</v>
      </c>
      <c r="CZ6" s="60">
        <f t="shared" si="42"/>
        <v>218.26721063098552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2.4933333333333332</v>
      </c>
      <c r="DO6" s="13">
        <f>IF('Données projet'!$A$166&gt;35,DO5+DN6-DW5,IF(A6&lt;'Données projet'!$A$166,$DL$205^A6,IF(A6='Données projet'!$A$166,'Données projet'!$B$166,DO5+DN6-DW5)))</f>
        <v>2.0633567375583337</v>
      </c>
      <c r="DP6" s="18">
        <f>DO6*VLOOKUP('Données projet'!$B$14,Paramètres!$A$1:$I$89,3,0)*VLOOKUP('Données projet'!$B$14,Paramètres!$A$1:$I$89,5,0)</f>
        <v>1.6416066204014104</v>
      </c>
      <c r="DQ6" s="14">
        <f t="shared" si="43"/>
        <v>0.71410789921437878</v>
      </c>
      <c r="DR6" s="22">
        <f t="shared" si="16"/>
        <v>4.1028694549974993</v>
      </c>
      <c r="DS6" s="60">
        <f t="shared" si="17"/>
        <v>264.43620278833083</v>
      </c>
      <c r="DT6" s="60">
        <f ca="1">AVERAGE(OFFSET($DS$3,0,0,'Données projet'!$E$14+1,1))-AVERAGE(OFFSET($H$3,0,0,'Données projet'!$E$14+1,1))</f>
        <v>317.13087551964747</v>
      </c>
      <c r="DU6" s="60">
        <f t="shared" si="44"/>
        <v>293.43300041793185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0.59333333333333338</v>
      </c>
      <c r="EJ6" s="13">
        <f>IF('Données projet'!$A$192&gt;35,EJ5+EI6-ER5,IF(A6&lt;'Données projet'!$A$192,$EG$205^A6,IF(A6='Données projet'!$A$192,'Données projet'!$B$192,EJ5+EI6-ER5)))</f>
        <v>1.5483815983450515</v>
      </c>
      <c r="EK6" s="18">
        <f>EJ6*VLOOKUP('Données projet'!$B$15,Paramètres!$A$1:$I$89,3,0)*VLOOKUP('Données projet'!$B$15,Paramètres!$A$1:$I$89,5,0)</f>
        <v>1.2318923996433231</v>
      </c>
      <c r="EL6" s="14">
        <f t="shared" si="45"/>
        <v>0.55409236961720576</v>
      </c>
      <c r="EM6" s="22">
        <f t="shared" si="19"/>
        <v>3.1105901397954212</v>
      </c>
      <c r="EN6" s="60">
        <f t="shared" si="20"/>
        <v>263.44392347312873</v>
      </c>
      <c r="EO6" s="60">
        <f ca="1">AVERAGE(OFFSET($EN$3,0,0,'Données projet'!$E$15+1,1))-AVERAGE(OFFSET($H$3,0,0,'Données projet'!$E$15+1,1))</f>
        <v>253.03289960511904</v>
      </c>
      <c r="EP6" s="60">
        <f t="shared" si="46"/>
        <v>236.85088713056018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0.59333333333333338</v>
      </c>
      <c r="FE6" s="13">
        <f>IF('Données projet'!$A$218&gt;35,FE5+FD6-FM5,IF(A6&lt;'Données projet'!$A$218,$FB$205^A6,IF(A6='Données projet'!$A$218,'Données projet'!$B$218,FE5+FD6-FM5)))</f>
        <v>1.5483815983450515</v>
      </c>
      <c r="FF6" s="18">
        <f>FE6*VLOOKUP('Données projet'!$B$16,Paramètres!$A$1:$I$89,3,0)*VLOOKUP('Données projet'!$B$16,Paramètres!$A$1:$I$89,5,0)</f>
        <v>1.3526661643142373</v>
      </c>
      <c r="FG6" s="14">
        <f t="shared" si="47"/>
        <v>0.60182760259468859</v>
      </c>
      <c r="FH6" s="22">
        <f t="shared" si="22"/>
        <v>3.4040766440330459</v>
      </c>
      <c r="FI6" s="60">
        <f t="shared" si="23"/>
        <v>263.73740997736638</v>
      </c>
      <c r="FJ6" s="60">
        <f ca="1">AVERAGE(OFFSET($FI$3,0,0,'Données projet'!$E$16+1,1))-AVERAGE(OFFSET($H$3,0,0,'Données projet'!$E$16+1,1))</f>
        <v>274.38315511766132</v>
      </c>
      <c r="FK6" s="60">
        <f t="shared" si="48"/>
        <v>255.96663040027175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0.16666666666666666</v>
      </c>
      <c r="FZ6" s="13">
        <f>IF('Données projet'!$A$244&gt;35,FZ5+FY6-GH5,IF(A6&lt;'Données projet'!$A$244,$FW$205^A6,IF(A6='Données projet'!$A$244,'Données projet'!$B$244,FZ5+FY6-GH5)))</f>
        <v>1.2009369551760027</v>
      </c>
      <c r="GA6" s="18">
        <f>FZ6*VLOOKUP('Données projet'!$B$17,Paramètres!$A$1:$I$89,3,0)*VLOOKUP('Données projet'!$B$17,Paramètres!$A$1:$I$89,5,0)</f>
        <v>1.0304039075410105</v>
      </c>
      <c r="GB6" s="14">
        <f t="shared" si="49"/>
        <v>0.47320082071313369</v>
      </c>
      <c r="GC6" s="22">
        <f t="shared" si="25"/>
        <v>2.6187782350426345</v>
      </c>
      <c r="GD6" s="60">
        <f t="shared" si="26"/>
        <v>262.95211156837593</v>
      </c>
      <c r="GE6" s="60">
        <f ca="1">AVERAGE(OFFSET($GD$3,0,0,'Données projet'!$E$17+1,1))-AVERAGE(OFFSET($H$3,0,0,'Données projet'!$E$17+1,1))</f>
        <v>445.81166342116865</v>
      </c>
      <c r="GF6" s="60">
        <f t="shared" si="50"/>
        <v>230.82970731138215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2.6666666666666665</v>
      </c>
      <c r="GU6" s="13">
        <f>IF('Données projet'!$A$270&gt;35,GU5+GT6-HC5,IF(A6&lt;'Données projet'!$A$270,$GR$205^A6,IF(A6='Données projet'!$A$270,'Données projet'!$B$270,GU5+GT6-HC5)))</f>
        <v>2.0912791051825459</v>
      </c>
      <c r="GV6" s="18">
        <f>GU6*VLOOKUP('Données projet'!$B$18,Paramètres!$A$1:$I$89,3,0)*VLOOKUP('Données projet'!$B$18,Paramètres!$A$1:$I$89,5,0)</f>
        <v>1.6311977020423858</v>
      </c>
      <c r="GW6" s="14">
        <f t="shared" si="51"/>
        <v>0.71010553443370616</v>
      </c>
      <c r="GX6" s="22">
        <f t="shared" si="28"/>
        <v>4.0777698035291934</v>
      </c>
      <c r="GY6" s="60">
        <f t="shared" si="29"/>
        <v>264.41110313686249</v>
      </c>
      <c r="GZ6" s="60">
        <f ca="1">AVERAGE(OFFSET($GY$3,0,0,'Données projet'!$E$18+1,1))-AVERAGE(OFFSET($H$3,0,0,'Données projet'!$E$18+1,1))</f>
        <v>289.19475369871481</v>
      </c>
      <c r="HA6" s="60">
        <f t="shared" si="52"/>
        <v>283.48738729114024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projet'!$B$18,Paramètres!$A$1:$I$89,3,0)*0.475*44/12</f>
        <v>0</v>
      </c>
      <c r="HH6" s="23">
        <f>EXP(-LN(2)/25)*HH5+(1-EXP(-LN(2)/25))/(LN(2)/25)*Calculateur!HC6*Calculateur!HE6*VLOOKUP('Données projet'!$B$18,Paramètres!$A$1:$I$89,3,0)*0.475*44/12</f>
        <v>0</v>
      </c>
      <c r="HI6" s="23">
        <f>EXP(-LN(2)/2)*HI5+(1-EXP(-LN(2)/2))/(LN(2)/2)*HC6*HF6*VLOOKUP('Données projet'!$B$18,Paramètres!$A$1:$I$89,3,0)*0.475*44/12</f>
        <v>0</v>
      </c>
      <c r="HJ6" s="24">
        <f t="shared" si="30"/>
        <v>0</v>
      </c>
    </row>
    <row r="7" spans="1:218" s="5" customFormat="1" x14ac:dyDescent="0.3">
      <c r="A7" s="11">
        <f t="shared" si="31"/>
        <v>4</v>
      </c>
      <c r="B7" s="75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8">
        <f t="shared" si="1"/>
        <v>256.66666666666669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2.042519191875845</v>
      </c>
      <c r="P7" s="14">
        <f t="shared" si="33"/>
        <v>0.86619340226463792</v>
      </c>
      <c r="Q7" s="22">
        <f t="shared" si="2"/>
        <v>5.0660077681280073</v>
      </c>
      <c r="R7" s="60">
        <f t="shared" si="0"/>
        <v>266.62156332368357</v>
      </c>
      <c r="S7" s="60">
        <f ca="1">AVERAGE(OFFSET($R$3,0,0,'Données projet'!$E$9+1,1))-AVERAGE(OFFSET($H$3,0,0,'Données projet'!$E$9+1,1))</f>
        <v>456.86147223520601</v>
      </c>
      <c r="T7" s="60">
        <f t="shared" si="34"/>
        <v>244.45149244446094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2.44</v>
      </c>
      <c r="AI7" s="14">
        <f>IF('Données projet'!$A$62&gt;35,AI6+AH7-AQ6,IF(A7&lt;'Données projet'!$A$62,$AF$205^A7,IF(A7='Données projet'!$A$62,'Données projet'!$B$62,AI6+AH7-AQ6)))</f>
        <v>1.9304242902583533</v>
      </c>
      <c r="AJ7" s="14">
        <f>AI7*VLOOKUP('Données projet'!$B$10,Paramètres!$A$1:$I$89,3,0)*VLOOKUP('Données projet'!$B$10,Paramètres!$A$1:$I$89,5,0)</f>
        <v>1.264813994977273</v>
      </c>
      <c r="AK7" s="14">
        <f t="shared" si="35"/>
        <v>0.56715638242507249</v>
      </c>
      <c r="AL7" s="22">
        <f t="shared" si="4"/>
        <v>3.1906817406424182</v>
      </c>
      <c r="AM7" s="60">
        <f t="shared" si="5"/>
        <v>264.74623729619793</v>
      </c>
      <c r="AN7" s="60">
        <f ca="1">AVERAGE(OFFSET($AM$3,0,0,'Données projet'!$E$10+1,1))-AVERAGE(OFFSET($H$3,0,0,'Données projet'!$E$10+1,1))</f>
        <v>170.79567854714986</v>
      </c>
      <c r="AO7" s="60">
        <f t="shared" si="36"/>
        <v>155.92788004111191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0.9</v>
      </c>
      <c r="BD7" s="13">
        <f>IF('Données projet'!$A$88&gt;35,BD6+BC7-BL6,IF(A7&lt;'Données projet'!$A$88,$BA$205^A7,IF(A7='Données projet'!$A$88,'Données projet'!$B$88,BD6+BC7-BL6)))</f>
        <v>2.4082246852806923</v>
      </c>
      <c r="BE7" s="14">
        <f>BD7*VLOOKUP('Données projet'!$B$11,Paramètres!$A$1:$I$89,3,0)*VLOOKUP('Données projet'!$B$11,Paramètres!$A$1:$I$89,5,0)</f>
        <v>1.9535518646996977</v>
      </c>
      <c r="BF7" s="14">
        <f t="shared" si="37"/>
        <v>0.83276983766381052</v>
      </c>
      <c r="BG7" s="22">
        <f t="shared" si="7"/>
        <v>4.8528436316164436</v>
      </c>
      <c r="BH7" s="60">
        <f t="shared" si="8"/>
        <v>266.40839918717199</v>
      </c>
      <c r="BI7" s="60">
        <f ca="1">AVERAGE(OFFSET($BH$3,0,0,'Données projet'!$E$11+1,1))-AVERAGE(OFFSET($H$3,0,0,'Données projet'!$E$11+1,1))</f>
        <v>256.19915261735281</v>
      </c>
      <c r="BJ7" s="60">
        <f t="shared" si="38"/>
        <v>297.47246687305056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2.2649572649572649</v>
      </c>
      <c r="BY7" s="13">
        <f>IF('Données projet'!$A$114&gt;35,BY6+BX7-CG6,IF(A7&lt;'Données projet'!$A$114,$BV$205^A7,IF(A7='Données projet'!$A$114,'Données projet'!$B$114,BY6+BX7-CG6)))</f>
        <v>2.5603952077681624</v>
      </c>
      <c r="BZ7" s="14">
        <f>BY7*VLOOKUP('Données projet'!$B$12,Paramètres!$A$1:$I$89,3,0)*VLOOKUP('Données projet'!$B$12,Paramètres!$A$1:$I$89,5,0)</f>
        <v>2.4364720797121833</v>
      </c>
      <c r="CA7" s="14">
        <f t="shared" si="39"/>
        <v>1.0122655860238423</v>
      </c>
      <c r="CB7" s="22">
        <f t="shared" si="10"/>
        <v>6.0065514344902446</v>
      </c>
      <c r="CC7" s="60">
        <f t="shared" si="11"/>
        <v>267.56210699004578</v>
      </c>
      <c r="CD7" s="60">
        <f ca="1">AVERAGE(OFFSET($CC$3,0,0,'Données projet'!$E$12+1,1))-AVERAGE(OFFSET($H$3,0,0,'Données projet'!$E$12+1,1))</f>
        <v>353.53401919391234</v>
      </c>
      <c r="CE7" s="60">
        <f t="shared" si="40"/>
        <v>244.7141066773861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2.1</v>
      </c>
      <c r="CT7" s="13">
        <f>IF('Données projet'!$A$140&gt;35,CT6+CS7-DB6,IF(A7&lt;'Données projet'!$A$140,$CQ$205^A7,IF(A7='Données projet'!$A$140,'Données projet'!$B$140,CT6+CS7-DB6)))</f>
        <v>2.1117857649667546</v>
      </c>
      <c r="CU7" s="18">
        <f>CT7*VLOOKUP('Données projet'!$B$13,Paramètres!$A$1:$I$89,3,0)*VLOOKUP('Données projet'!$B$13,Paramètres!$A$1:$I$89,5,0)</f>
        <v>1.7789683284079942</v>
      </c>
      <c r="CV7" s="14">
        <f t="shared" si="41"/>
        <v>0.76665628572357314</v>
      </c>
      <c r="CW7" s="22">
        <f t="shared" si="13"/>
        <v>4.4336295362791462</v>
      </c>
      <c r="CX7" s="60">
        <f t="shared" si="14"/>
        <v>265.98918509183471</v>
      </c>
      <c r="CY7" s="60">
        <f ca="1">AVERAGE(OFFSET($CX$3,0,0,'Données projet'!$E$13+1,1))-AVERAGE(OFFSET($H$3,0,0,'Données projet'!$E$13+1,1))</f>
        <v>403.33327536410098</v>
      </c>
      <c r="CZ7" s="60">
        <f t="shared" si="42"/>
        <v>218.26721063098552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2.4933333333333332</v>
      </c>
      <c r="DO7" s="13">
        <f>IF('Données projet'!$A$166&gt;35,DO6+DN7-DW6,IF(A7&lt;'Données projet'!$A$166,$DL$205^A7,IF(A7='Données projet'!$A$166,'Données projet'!$B$166,DO6+DN7-DW6)))</f>
        <v>2.6268327805078595</v>
      </c>
      <c r="DP7" s="18">
        <f>DO7*VLOOKUP('Données projet'!$B$14,Paramètres!$A$1:$I$89,3,0)*VLOOKUP('Données projet'!$B$14,Paramètres!$A$1:$I$89,5,0)</f>
        <v>2.0899081601720533</v>
      </c>
      <c r="DQ7" s="14">
        <f t="shared" si="43"/>
        <v>0.88392712303339283</v>
      </c>
      <c r="DR7" s="22">
        <f t="shared" si="16"/>
        <v>5.1794297849161515</v>
      </c>
      <c r="DS7" s="60">
        <f t="shared" si="17"/>
        <v>266.73498534047167</v>
      </c>
      <c r="DT7" s="60">
        <f ca="1">AVERAGE(OFFSET($DS$3,0,0,'Données projet'!$E$14+1,1))-AVERAGE(OFFSET($H$3,0,0,'Données projet'!$E$14+1,1))</f>
        <v>317.13087551964747</v>
      </c>
      <c r="DU7" s="60">
        <f t="shared" si="44"/>
        <v>293.43300041793185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0.59333333333333338</v>
      </c>
      <c r="EJ7" s="13">
        <f>IF('Données projet'!$A$192&gt;35,EJ6+EI7-ER6,IF(A7&lt;'Données projet'!$A$192,$EG$205^A7,IF(A7='Données projet'!$A$192,'Données projet'!$B$192,EJ6+EI7-ER6)))</f>
        <v>1.7913096621034343</v>
      </c>
      <c r="EK7" s="18">
        <f>EJ7*VLOOKUP('Données projet'!$B$15,Paramètres!$A$1:$I$89,3,0)*VLOOKUP('Données projet'!$B$15,Paramètres!$A$1:$I$89,5,0)</f>
        <v>1.4251659671694925</v>
      </c>
      <c r="EL7" s="14">
        <f t="shared" si="45"/>
        <v>0.63024233167960686</v>
      </c>
      <c r="EM7" s="22">
        <f t="shared" si="19"/>
        <v>3.5798361204955143</v>
      </c>
      <c r="EN7" s="60">
        <f t="shared" si="20"/>
        <v>265.13539167605109</v>
      </c>
      <c r="EO7" s="60">
        <f ca="1">AVERAGE(OFFSET($EN$3,0,0,'Données projet'!$E$15+1,1))-AVERAGE(OFFSET($H$3,0,0,'Données projet'!$E$15+1,1))</f>
        <v>253.03289960511904</v>
      </c>
      <c r="EP7" s="60">
        <f t="shared" si="46"/>
        <v>236.85088713056018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0.59333333333333338</v>
      </c>
      <c r="FE7" s="13">
        <f>IF('Données projet'!$A$218&gt;35,FE6+FD7-FM6,IF(A7&lt;'Données projet'!$A$218,$FB$205^A7,IF(A7='Données projet'!$A$218,'Données projet'!$B$218,FE6+FD7-FM6)))</f>
        <v>1.7913096621034343</v>
      </c>
      <c r="FF7" s="18">
        <f>FE7*VLOOKUP('Données projet'!$B$16,Paramètres!$A$1:$I$89,3,0)*VLOOKUP('Données projet'!$B$16,Paramètres!$A$1:$I$89,5,0)</f>
        <v>1.5648881208135603</v>
      </c>
      <c r="FG7" s="14">
        <f t="shared" si="47"/>
        <v>0.6845379079853805</v>
      </c>
      <c r="FH7" s="22">
        <f t="shared" si="22"/>
        <v>3.9177503334914885</v>
      </c>
      <c r="FI7" s="60">
        <f t="shared" si="23"/>
        <v>265.47330588904703</v>
      </c>
      <c r="FJ7" s="60">
        <f ca="1">AVERAGE(OFFSET($FI$3,0,0,'Données projet'!$E$16+1,1))-AVERAGE(OFFSET($H$3,0,0,'Données projet'!$E$16+1,1))</f>
        <v>274.38315511766132</v>
      </c>
      <c r="FK7" s="60">
        <f t="shared" si="48"/>
        <v>255.96663040027175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0.16666666666666666</v>
      </c>
      <c r="FZ7" s="13">
        <f>IF('Données projet'!$A$244&gt;35,FZ6+FY7-GH6,IF(A7&lt;'Données projet'!$A$244,$FW$205^A7,IF(A7='Données projet'!$A$244,'Données projet'!$B$244,FZ6+FY7-GH6)))</f>
        <v>1.2765180070092417</v>
      </c>
      <c r="GA7" s="18">
        <f>FZ7*VLOOKUP('Données projet'!$B$17,Paramètres!$A$1:$I$89,3,0)*VLOOKUP('Données projet'!$B$17,Paramètres!$A$1:$I$89,5,0)</f>
        <v>1.0952524500139293</v>
      </c>
      <c r="GB7" s="14">
        <f t="shared" si="49"/>
        <v>0.49942104776489715</v>
      </c>
      <c r="GC7" s="22">
        <f t="shared" si="25"/>
        <v>2.7773896752981226</v>
      </c>
      <c r="GD7" s="60">
        <f t="shared" si="26"/>
        <v>264.33294523085368</v>
      </c>
      <c r="GE7" s="60">
        <f ca="1">AVERAGE(OFFSET($GD$3,0,0,'Données projet'!$E$17+1,1))-AVERAGE(OFFSET($H$3,0,0,'Données projet'!$E$17+1,1))</f>
        <v>445.81166342116865</v>
      </c>
      <c r="GF7" s="60">
        <f t="shared" si="50"/>
        <v>230.82970731138215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2.6666666666666665</v>
      </c>
      <c r="GU7" s="13">
        <f>IF('Données projet'!$A$270&gt;35,GU6+GT7-HC6,IF(A7&lt;'Données projet'!$A$270,$GR$205^A7,IF(A7='Données projet'!$A$270,'Données projet'!$B$270,GU6+GT7-HC6)))</f>
        <v>2.6743361672197152</v>
      </c>
      <c r="GV7" s="18">
        <f>GU7*VLOOKUP('Données projet'!$B$18,Paramètres!$A$1:$I$89,3,0)*VLOOKUP('Données projet'!$B$18,Paramètres!$A$1:$I$89,5,0)</f>
        <v>2.0859822104313781</v>
      </c>
      <c r="GW7" s="14">
        <f t="shared" si="51"/>
        <v>0.88245976121767966</v>
      </c>
      <c r="GX7" s="22">
        <f t="shared" si="28"/>
        <v>5.1700364339554419</v>
      </c>
      <c r="GY7" s="60">
        <f t="shared" si="29"/>
        <v>266.72559198951097</v>
      </c>
      <c r="GZ7" s="60">
        <f ca="1">AVERAGE(OFFSET($GY$3,0,0,'Données projet'!$E$18+1,1))-AVERAGE(OFFSET($H$3,0,0,'Données projet'!$E$18+1,1))</f>
        <v>289.19475369871481</v>
      </c>
      <c r="HA7" s="60">
        <f t="shared" si="52"/>
        <v>283.48738729114024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projet'!$B$18,Paramètres!$A$1:$I$89,3,0)*0.475*44/12</f>
        <v>0</v>
      </c>
      <c r="HH7" s="23">
        <f>EXP(-LN(2)/25)*HH6+(1-EXP(-LN(2)/25))/(LN(2)/25)*Calculateur!HC7*Calculateur!HE7*VLOOKUP('Données projet'!$B$18,Paramètres!$A$1:$I$89,3,0)*0.475*44/12</f>
        <v>0</v>
      </c>
      <c r="HI7" s="23">
        <f>EXP(-LN(2)/2)*HI6+(1-EXP(-LN(2)/2))/(LN(2)/2)*HC7*HF7*VLOOKUP('Données projet'!$B$18,Paramètres!$A$1:$I$89,3,0)*0.475*44/12</f>
        <v>0</v>
      </c>
      <c r="HJ7" s="24">
        <f t="shared" si="30"/>
        <v>0</v>
      </c>
    </row>
    <row r="8" spans="1:218" s="5" customFormat="1" x14ac:dyDescent="0.3">
      <c r="A8" s="11">
        <f t="shared" si="31"/>
        <v>5</v>
      </c>
      <c r="B8" s="75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8">
        <f t="shared" si="1"/>
        <v>256.66666666666669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2.4622299544651152</v>
      </c>
      <c r="P8" s="14">
        <f t="shared" si="33"/>
        <v>1.021715601495419</v>
      </c>
      <c r="Q8" s="22">
        <f t="shared" si="2"/>
        <v>6.0678718432979295</v>
      </c>
      <c r="R8" s="60">
        <f t="shared" si="0"/>
        <v>268.84564962107572</v>
      </c>
      <c r="S8" s="60">
        <f ca="1">AVERAGE(OFFSET($R$3,0,0,'Données projet'!$E$9+1,1))-AVERAGE(OFFSET($H$3,0,0,'Données projet'!$E$9+1,1))</f>
        <v>456.86147223520601</v>
      </c>
      <c r="T8" s="60">
        <f t="shared" si="34"/>
        <v>244.45149244446094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2.44</v>
      </c>
      <c r="AI8" s="14">
        <f>IF('Données projet'!$A$62&gt;35,AI7+AH8-AQ7,IF(A8&lt;'Données projet'!$A$62,$AF$205^A8,IF(A8='Données projet'!$A$62,'Données projet'!$B$62,AI7+AH8-AQ7)))</f>
        <v>2.2754430321145303</v>
      </c>
      <c r="AJ8" s="14">
        <f>AI8*VLOOKUP('Données projet'!$B$10,Paramètres!$A$1:$I$89,3,0)*VLOOKUP('Données projet'!$B$10,Paramètres!$A$1:$I$89,5,0)</f>
        <v>1.4908702746414402</v>
      </c>
      <c r="AK8" s="14">
        <f t="shared" si="35"/>
        <v>0.65584848763814663</v>
      </c>
      <c r="AL8" s="22">
        <f t="shared" si="4"/>
        <v>3.7388685109702808</v>
      </c>
      <c r="AM8" s="60">
        <f t="shared" si="5"/>
        <v>266.51664628874806</v>
      </c>
      <c r="AN8" s="60">
        <f ca="1">AVERAGE(OFFSET($AM$3,0,0,'Données projet'!$E$10+1,1))-AVERAGE(OFFSET($H$3,0,0,'Données projet'!$E$10+1,1))</f>
        <v>170.79567854714986</v>
      </c>
      <c r="AO8" s="60">
        <f t="shared" si="36"/>
        <v>155.92788004111191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0.9</v>
      </c>
      <c r="BD8" s="13">
        <f>IF('Données projet'!$A$88&gt;35,BD7+BC8-BL7,IF(A8&lt;'Données projet'!$A$88,$BA$205^A8,IF(A8='Données projet'!$A$88,'Données projet'!$B$88,BD7+BC8-BL7)))</f>
        <v>3.0000000000000004</v>
      </c>
      <c r="BE8" s="14">
        <f>BD8*VLOOKUP('Données projet'!$B$11,Paramètres!$A$1:$I$89,3,0)*VLOOKUP('Données projet'!$B$11,Paramètres!$A$1:$I$89,5,0)</f>
        <v>2.4336000000000007</v>
      </c>
      <c r="BF8" s="14">
        <f t="shared" si="37"/>
        <v>1.0112111626203177</v>
      </c>
      <c r="BG8" s="22">
        <f t="shared" si="7"/>
        <v>5.9997127748970547</v>
      </c>
      <c r="BH8" s="60">
        <f t="shared" si="8"/>
        <v>268.77749055267481</v>
      </c>
      <c r="BI8" s="60">
        <f ca="1">AVERAGE(OFFSET($BH$3,0,0,'Données projet'!$E$11+1,1))-AVERAGE(OFFSET($H$3,0,0,'Données projet'!$E$11+1,1))</f>
        <v>256.19915261735281</v>
      </c>
      <c r="BJ8" s="60">
        <f t="shared" si="38"/>
        <v>297.47246687305056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2.2649572649572649</v>
      </c>
      <c r="BY8" s="13">
        <f>IF('Données projet'!$A$114&gt;35,BY7+BX8-CG7,IF(A8&lt;'Données projet'!$A$114,$BV$205^A8,IF(A8='Données projet'!$A$114,'Données projet'!$B$114,BY7+BX8-CG7)))</f>
        <v>3.2387972144185837</v>
      </c>
      <c r="BZ8" s="14">
        <f>BY8*VLOOKUP('Données projet'!$B$12,Paramètres!$A$1:$I$89,3,0)*VLOOKUP('Données projet'!$B$12,Paramètres!$A$1:$I$89,5,0)</f>
        <v>3.0820394292407243</v>
      </c>
      <c r="CA8" s="14">
        <f t="shared" si="39"/>
        <v>1.2459180853304419</v>
      </c>
      <c r="CB8" s="22">
        <f t="shared" si="10"/>
        <v>7.5378593378781131</v>
      </c>
      <c r="CC8" s="60">
        <f t="shared" si="11"/>
        <v>270.31563711565587</v>
      </c>
      <c r="CD8" s="60">
        <f ca="1">AVERAGE(OFFSET($CC$3,0,0,'Données projet'!$E$12+1,1))-AVERAGE(OFFSET($H$3,0,0,'Données projet'!$E$12+1,1))</f>
        <v>353.53401919391234</v>
      </c>
      <c r="CE8" s="60">
        <f t="shared" si="40"/>
        <v>244.7141066773861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2.1</v>
      </c>
      <c r="CT8" s="13">
        <f>IF('Données projet'!$A$140&gt;35,CT7+CS8-DB7,IF(A8&lt;'Données projet'!$A$140,$CQ$205^A8,IF(A8='Données projet'!$A$140,'Données projet'!$B$140,CT7+CS8-DB7)))</f>
        <v>2.5457298950218314</v>
      </c>
      <c r="CU8" s="18">
        <f>CT8*VLOOKUP('Données projet'!$B$13,Paramètres!$A$1:$I$89,3,0)*VLOOKUP('Données projet'!$B$13,Paramètres!$A$1:$I$89,5,0)</f>
        <v>2.1445228635663907</v>
      </c>
      <c r="CV8" s="14">
        <f t="shared" si="41"/>
        <v>0.90430692044106609</v>
      </c>
      <c r="CW8" s="22">
        <f t="shared" si="13"/>
        <v>5.3100452071463202</v>
      </c>
      <c r="CX8" s="60">
        <f t="shared" si="14"/>
        <v>268.08782298492412</v>
      </c>
      <c r="CY8" s="60">
        <f ca="1">AVERAGE(OFFSET($CX$3,0,0,'Données projet'!$E$13+1,1))-AVERAGE(OFFSET($H$3,0,0,'Données projet'!$E$13+1,1))</f>
        <v>403.33327536410098</v>
      </c>
      <c r="CZ8" s="60">
        <f t="shared" si="42"/>
        <v>218.26721063098552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2.4933333333333332</v>
      </c>
      <c r="DO8" s="13">
        <f>IF('Données projet'!$A$166&gt;35,DO7+DN8-DW7,IF(A8&lt;'Données projet'!$A$166,$DL$205^A8,IF(A8='Données projet'!$A$166,'Données projet'!$B$166,DO7+DN8-DW7)))</f>
        <v>3.3441868442565297</v>
      </c>
      <c r="DP8" s="18">
        <f>DO8*VLOOKUP('Données projet'!$B$14,Paramètres!$A$1:$I$89,3,0)*VLOOKUP('Données projet'!$B$14,Paramètres!$A$1:$I$89,5,0)</f>
        <v>2.6606350532904952</v>
      </c>
      <c r="DQ8" s="14">
        <f t="shared" si="43"/>
        <v>1.0941303963920053</v>
      </c>
      <c r="DR8" s="22">
        <f t="shared" si="16"/>
        <v>6.5395498248636885</v>
      </c>
      <c r="DS8" s="60">
        <f t="shared" si="17"/>
        <v>269.31732760264146</v>
      </c>
      <c r="DT8" s="60">
        <f ca="1">AVERAGE(OFFSET($DS$3,0,0,'Données projet'!$E$14+1,1))-AVERAGE(OFFSET($H$3,0,0,'Données projet'!$E$14+1,1))</f>
        <v>317.13087551964747</v>
      </c>
      <c r="DU8" s="60">
        <f t="shared" si="44"/>
        <v>293.43300041793185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0.59333333333333338</v>
      </c>
      <c r="EJ8" s="13">
        <f>IF('Données projet'!$A$192&gt;35,EJ7+EI8-ER7,IF(A8&lt;'Données projet'!$A$192,$EG$205^A8,IF(A8='Données projet'!$A$192,'Données projet'!$B$192,EJ7+EI8-ER7)))</f>
        <v>2.0723510980592605</v>
      </c>
      <c r="EK8" s="18">
        <f>EJ8*VLOOKUP('Données projet'!$B$15,Paramètres!$A$1:$I$89,3,0)*VLOOKUP('Données projet'!$B$15,Paramètres!$A$1:$I$89,5,0)</f>
        <v>1.6487625336159477</v>
      </c>
      <c r="EL8" s="14">
        <f t="shared" si="45"/>
        <v>0.71685772701644768</v>
      </c>
      <c r="EM8" s="22">
        <f t="shared" si="19"/>
        <v>4.1201219539347553</v>
      </c>
      <c r="EN8" s="60">
        <f t="shared" si="20"/>
        <v>266.89789973171253</v>
      </c>
      <c r="EO8" s="60">
        <f ca="1">AVERAGE(OFFSET($EN$3,0,0,'Données projet'!$E$15+1,1))-AVERAGE(OFFSET($H$3,0,0,'Données projet'!$E$15+1,1))</f>
        <v>253.03289960511904</v>
      </c>
      <c r="EP8" s="60">
        <f t="shared" si="46"/>
        <v>236.85088713056018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0.59333333333333338</v>
      </c>
      <c r="FE8" s="13">
        <f>IF('Données projet'!$A$218&gt;35,FE7+FD8-FM7,IF(A8&lt;'Données projet'!$A$218,$FB$205^A8,IF(A8='Données projet'!$A$218,'Données projet'!$B$218,FE7+FD8-FM7)))</f>
        <v>2.0723510980592605</v>
      </c>
      <c r="FF8" s="18">
        <f>FE8*VLOOKUP('Données projet'!$B$16,Paramètres!$A$1:$I$89,3,0)*VLOOKUP('Données projet'!$B$16,Paramètres!$A$1:$I$89,5,0)</f>
        <v>1.8104059192645703</v>
      </c>
      <c r="FG8" s="14">
        <f t="shared" si="47"/>
        <v>0.77861524703874885</v>
      </c>
      <c r="FH8" s="22">
        <f t="shared" si="22"/>
        <v>4.5092118646449473</v>
      </c>
      <c r="FI8" s="60">
        <f t="shared" si="23"/>
        <v>267.28698964242272</v>
      </c>
      <c r="FJ8" s="60">
        <f ca="1">AVERAGE(OFFSET($FI$3,0,0,'Données projet'!$E$16+1,1))-AVERAGE(OFFSET($H$3,0,0,'Données projet'!$E$16+1,1))</f>
        <v>274.38315511766132</v>
      </c>
      <c r="FK8" s="60">
        <f t="shared" si="48"/>
        <v>255.96663040027175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0.16666666666666666</v>
      </c>
      <c r="FZ8" s="13">
        <f>IF('Données projet'!$A$244&gt;35,FZ7+FY8-GH7,IF(A8&lt;'Données projet'!$A$244,$FW$205^A8,IF(A8='Données projet'!$A$244,'Données projet'!$B$244,FZ7+FY8-GH7)))</f>
        <v>1.3568557576613469</v>
      </c>
      <c r="GA8" s="18">
        <f>FZ8*VLOOKUP('Données projet'!$B$17,Paramètres!$A$1:$I$89,3,0)*VLOOKUP('Données projet'!$B$17,Paramètres!$A$1:$I$89,5,0)</f>
        <v>1.1641822400734358</v>
      </c>
      <c r="GB8" s="14">
        <f t="shared" si="49"/>
        <v>0.5270941469938687</v>
      </c>
      <c r="GC8" s="22">
        <f t="shared" si="25"/>
        <v>2.9456397074755554</v>
      </c>
      <c r="GD8" s="60">
        <f t="shared" si="26"/>
        <v>265.72341748525332</v>
      </c>
      <c r="GE8" s="60">
        <f ca="1">AVERAGE(OFFSET($GD$3,0,0,'Données projet'!$E$17+1,1))-AVERAGE(OFFSET($H$3,0,0,'Données projet'!$E$17+1,1))</f>
        <v>445.81166342116865</v>
      </c>
      <c r="GF8" s="60">
        <f t="shared" si="50"/>
        <v>230.82970731138215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2.6666666666666665</v>
      </c>
      <c r="GU8" s="13">
        <f>IF('Données projet'!$A$270&gt;35,GU7+GT8-HC7,IF(A8&lt;'Données projet'!$A$270,$GR$205^A8,IF(A8='Données projet'!$A$270,'Données projet'!$B$270,GU7+GT8-HC7)))</f>
        <v>3.4199518933533928</v>
      </c>
      <c r="GV8" s="18">
        <f>GU8*VLOOKUP('Données projet'!$B$18,Paramètres!$A$1:$I$89,3,0)*VLOOKUP('Données projet'!$B$18,Paramètres!$A$1:$I$89,5,0)</f>
        <v>2.6675624768156463</v>
      </c>
      <c r="GW8" s="14">
        <f t="shared" si="51"/>
        <v>1.0966471776471767</v>
      </c>
      <c r="GX8" s="22">
        <f t="shared" si="28"/>
        <v>6.5559984815227494</v>
      </c>
      <c r="GY8" s="60">
        <f t="shared" si="29"/>
        <v>269.33377625930052</v>
      </c>
      <c r="GZ8" s="60">
        <f ca="1">AVERAGE(OFFSET($GY$3,0,0,'Données projet'!$E$18+1,1))-AVERAGE(OFFSET($H$3,0,0,'Données projet'!$E$18+1,1))</f>
        <v>289.19475369871481</v>
      </c>
      <c r="HA8" s="60">
        <f t="shared" si="52"/>
        <v>283.48738729114024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projet'!$B$18,Paramètres!$A$1:$I$89,3,0)*0.475*44/12</f>
        <v>0</v>
      </c>
      <c r="HH8" s="23">
        <f>EXP(-LN(2)/25)*HH7+(1-EXP(-LN(2)/25))/(LN(2)/25)*Calculateur!HC8*Calculateur!HE8*VLOOKUP('Données projet'!$B$18,Paramètres!$A$1:$I$89,3,0)*0.475*44/12</f>
        <v>0</v>
      </c>
      <c r="HI8" s="23">
        <f>EXP(-LN(2)/2)*HI7+(1-EXP(-LN(2)/2))/(LN(2)/2)*HC8*HF8*VLOOKUP('Données projet'!$B$18,Paramètres!$A$1:$I$89,3,0)*0.475*44/12</f>
        <v>0</v>
      </c>
      <c r="HJ8" s="24">
        <f t="shared" si="30"/>
        <v>0</v>
      </c>
    </row>
    <row r="9" spans="1:218" s="5" customFormat="1" x14ac:dyDescent="0.3">
      <c r="A9" s="11">
        <f t="shared" si="31"/>
        <v>6</v>
      </c>
      <c r="B9" s="75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8">
        <f t="shared" si="1"/>
        <v>256.66666666666669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2.9681857447309605</v>
      </c>
      <c r="P9" s="14">
        <f t="shared" si="33"/>
        <v>1.2051613041728233</v>
      </c>
      <c r="Q9" s="22">
        <f t="shared" si="2"/>
        <v>7.2685794435074236</v>
      </c>
      <c r="R9" s="60">
        <f t="shared" si="0"/>
        <v>271.26857944350741</v>
      </c>
      <c r="S9" s="60">
        <f ca="1">AVERAGE(OFFSET($R$3,0,0,'Données projet'!$E$9+1,1))-AVERAGE(OFFSET($H$3,0,0,'Données projet'!$E$9+1,1))</f>
        <v>456.86147223520601</v>
      </c>
      <c r="T9" s="60">
        <f t="shared" si="34"/>
        <v>244.45149244446094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2.44</v>
      </c>
      <c r="AI9" s="14">
        <f>IF('Données projet'!$A$62&gt;35,AI8+AH9-AQ8,IF(A9&lt;'Données projet'!$A$62,$AF$205^A9,IF(A9='Données projet'!$A$62,'Données projet'!$B$62,AI8+AH9-AQ8)))</f>
        <v>2.6821259028530102</v>
      </c>
      <c r="AJ9" s="14">
        <f>AI9*VLOOKUP('Données projet'!$B$10,Paramètres!$A$1:$I$89,3,0)*VLOOKUP('Données projet'!$B$10,Paramètres!$A$1:$I$89,5,0)</f>
        <v>1.7573288915492922</v>
      </c>
      <c r="AK9" s="14">
        <f t="shared" si="35"/>
        <v>0.75841029399694704</v>
      </c>
      <c r="AL9" s="22">
        <f t="shared" si="4"/>
        <v>4.3815790814930331</v>
      </c>
      <c r="AM9" s="60">
        <f t="shared" si="5"/>
        <v>268.38157908149304</v>
      </c>
      <c r="AN9" s="60">
        <f ca="1">AVERAGE(OFFSET($AM$3,0,0,'Données projet'!$E$10+1,1))-AVERAGE(OFFSET($H$3,0,0,'Données projet'!$E$10+1,1))</f>
        <v>170.79567854714986</v>
      </c>
      <c r="AO9" s="60">
        <f t="shared" si="36"/>
        <v>155.92788004111191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0.9</v>
      </c>
      <c r="BD9" s="13">
        <f>IF('Données projet'!$A$88&gt;35,BD8+BC9-BL8,IF(A9&lt;'Données projet'!$A$88,$BA$205^A9,IF(A9='Données projet'!$A$88,'Données projet'!$B$88,BD8+BC9-BL8)))</f>
        <v>3.7371928188465526</v>
      </c>
      <c r="BE9" s="14">
        <f>BD9*VLOOKUP('Données projet'!$B$11,Paramètres!$A$1:$I$89,3,0)*VLOOKUP('Données projet'!$B$11,Paramètres!$A$1:$I$89,5,0)</f>
        <v>3.0316108146483236</v>
      </c>
      <c r="BF9" s="14">
        <f t="shared" si="37"/>
        <v>1.2278879099133964</v>
      </c>
      <c r="BG9" s="22">
        <f t="shared" si="7"/>
        <v>7.4186269452783291</v>
      </c>
      <c r="BH9" s="60">
        <f t="shared" si="8"/>
        <v>271.41862694527833</v>
      </c>
      <c r="BI9" s="60">
        <f ca="1">AVERAGE(OFFSET($BH$3,0,0,'Données projet'!$E$11+1,1))-AVERAGE(OFFSET($H$3,0,0,'Données projet'!$E$11+1,1))</f>
        <v>256.19915261735281</v>
      </c>
      <c r="BJ9" s="60">
        <f t="shared" si="38"/>
        <v>297.47246687305056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2.2649572649572649</v>
      </c>
      <c r="BY9" s="13">
        <f>IF('Données projet'!$A$114&gt;35,BY8+BX9-CG8,IF(A9&lt;'Données projet'!$A$114,$BV$205^A9,IF(A9='Données projet'!$A$114,'Données projet'!$B$114,BY8+BX9-CG8)))</f>
        <v>4.0969485352494868</v>
      </c>
      <c r="BZ9" s="14">
        <f>BY9*VLOOKUP('Données projet'!$B$12,Paramètres!$A$1:$I$89,3,0)*VLOOKUP('Données projet'!$B$12,Paramètres!$A$1:$I$89,5,0)</f>
        <v>3.8986562261434119</v>
      </c>
      <c r="CA9" s="14">
        <f t="shared" si="39"/>
        <v>1.5335025676916687</v>
      </c>
      <c r="CB9" s="22">
        <f t="shared" si="10"/>
        <v>9.4610098992627645</v>
      </c>
      <c r="CC9" s="60">
        <f t="shared" si="11"/>
        <v>273.46100989926276</v>
      </c>
      <c r="CD9" s="60">
        <f ca="1">AVERAGE(OFFSET($CC$3,0,0,'Données projet'!$E$12+1,1))-AVERAGE(OFFSET($H$3,0,0,'Données projet'!$E$12+1,1))</f>
        <v>353.53401919391234</v>
      </c>
      <c r="CE9" s="60">
        <f t="shared" si="40"/>
        <v>244.7141066773861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2.1</v>
      </c>
      <c r="CT9" s="13">
        <f>IF('Données projet'!$A$140&gt;35,CT8+CS9-DB8,IF(A9&lt;'Données projet'!$A$140,$CQ$205^A9,IF(A9='Données projet'!$A$140,'Données projet'!$B$140,CT8+CS9-DB8)))</f>
        <v>3.0688438220956993</v>
      </c>
      <c r="CU9" s="18">
        <f>CT9*VLOOKUP('Données projet'!$B$13,Paramètres!$A$1:$I$89,3,0)*VLOOKUP('Données projet'!$B$13,Paramètres!$A$1:$I$89,5,0)</f>
        <v>2.5851940357334171</v>
      </c>
      <c r="CV9" s="14">
        <f t="shared" si="41"/>
        <v>1.0666722775067177</v>
      </c>
      <c r="CW9" s="22">
        <f t="shared" si="13"/>
        <v>6.3603338288932347</v>
      </c>
      <c r="CX9" s="60">
        <f t="shared" si="14"/>
        <v>270.36033382889326</v>
      </c>
      <c r="CY9" s="60">
        <f ca="1">AVERAGE(OFFSET($CX$3,0,0,'Données projet'!$E$13+1,1))-AVERAGE(OFFSET($H$3,0,0,'Données projet'!$E$13+1,1))</f>
        <v>403.33327536410098</v>
      </c>
      <c r="CZ9" s="60">
        <f t="shared" si="42"/>
        <v>218.26721063098552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2.4933333333333332</v>
      </c>
      <c r="DO9" s="13">
        <f>IF('Données projet'!$A$166&gt;35,DO8+DN9-DW8,IF(A9&lt;'Données projet'!$A$166,$DL$205^A9,IF(A9='Données projet'!$A$166,'Données projet'!$B$166,DO8+DN9-DW8)))</f>
        <v>4.2574410264273705</v>
      </c>
      <c r="DP9" s="18">
        <f>DO9*VLOOKUP('Données projet'!$B$14,Paramètres!$A$1:$I$89,3,0)*VLOOKUP('Données projet'!$B$14,Paramètres!$A$1:$I$89,5,0)</f>
        <v>3.3872200806256161</v>
      </c>
      <c r="DQ9" s="14">
        <f t="shared" si="43"/>
        <v>1.3543212931409303</v>
      </c>
      <c r="DR9" s="22">
        <f t="shared" si="16"/>
        <v>8.2581845593100685</v>
      </c>
      <c r="DS9" s="60">
        <f t="shared" si="17"/>
        <v>272.25818455931005</v>
      </c>
      <c r="DT9" s="60">
        <f ca="1">AVERAGE(OFFSET($DS$3,0,0,'Données projet'!$E$14+1,1))-AVERAGE(OFFSET($H$3,0,0,'Données projet'!$E$14+1,1))</f>
        <v>317.13087551964747</v>
      </c>
      <c r="DU9" s="60">
        <f t="shared" si="44"/>
        <v>293.43300041793185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0.59333333333333338</v>
      </c>
      <c r="EJ9" s="13">
        <f>IF('Données projet'!$A$192&gt;35,EJ8+EI9-ER8,IF(A9&lt;'Données projet'!$A$192,$EG$205^A9,IF(A9='Données projet'!$A$192,'Données projet'!$B$192,EJ8+EI9-ER8)))</f>
        <v>2.3974855740935763</v>
      </c>
      <c r="EK9" s="18">
        <f>EJ9*VLOOKUP('Données projet'!$B$15,Paramètres!$A$1:$I$89,3,0)*VLOOKUP('Données projet'!$B$15,Paramètres!$A$1:$I$89,5,0)</f>
        <v>1.9074395227488494</v>
      </c>
      <c r="EL9" s="14">
        <f t="shared" si="45"/>
        <v>0.8153768399112058</v>
      </c>
      <c r="EM9" s="22">
        <f t="shared" si="19"/>
        <v>4.7422384982995958</v>
      </c>
      <c r="EN9" s="60">
        <f t="shared" si="20"/>
        <v>268.74223849829957</v>
      </c>
      <c r="EO9" s="60">
        <f ca="1">AVERAGE(OFFSET($EN$3,0,0,'Données projet'!$E$15+1,1))-AVERAGE(OFFSET($H$3,0,0,'Données projet'!$E$15+1,1))</f>
        <v>253.03289960511904</v>
      </c>
      <c r="EP9" s="60">
        <f t="shared" si="46"/>
        <v>236.85088713056018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0.59333333333333338</v>
      </c>
      <c r="FE9" s="13">
        <f>IF('Données projet'!$A$218&gt;35,FE8+FD9-FM8,IF(A9&lt;'Données projet'!$A$218,$FB$205^A9,IF(A9='Données projet'!$A$218,'Données projet'!$B$218,FE8+FD9-FM8)))</f>
        <v>2.3974855740935763</v>
      </c>
      <c r="FF9" s="18">
        <f>FE9*VLOOKUP('Données projet'!$B$16,Paramètres!$A$1:$I$89,3,0)*VLOOKUP('Données projet'!$B$16,Paramètres!$A$1:$I$89,5,0)</f>
        <v>2.0944433975281487</v>
      </c>
      <c r="FG9" s="14">
        <f t="shared" si="47"/>
        <v>0.88562181268441775</v>
      </c>
      <c r="FH9" s="22">
        <f t="shared" si="22"/>
        <v>5.1902802411202194</v>
      </c>
      <c r="FI9" s="60">
        <f t="shared" si="23"/>
        <v>269.19028024112021</v>
      </c>
      <c r="FJ9" s="60">
        <f ca="1">AVERAGE(OFFSET($FI$3,0,0,'Données projet'!$E$16+1,1))-AVERAGE(OFFSET($H$3,0,0,'Données projet'!$E$16+1,1))</f>
        <v>274.38315511766132</v>
      </c>
      <c r="FK9" s="60">
        <f t="shared" si="48"/>
        <v>255.96663040027175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0.16666666666666666</v>
      </c>
      <c r="FZ9" s="13">
        <f>IF('Données projet'!$A$244&gt;35,FZ8+FY9-GH8,IF(A9&lt;'Données projet'!$A$244,$FW$205^A9,IF(A9='Données projet'!$A$244,'Données projet'!$B$244,FZ8+FY9-GH8)))</f>
        <v>1.4422495703074083</v>
      </c>
      <c r="GA9" s="18">
        <f>FZ9*VLOOKUP('Données projet'!$B$17,Paramètres!$A$1:$I$89,3,0)*VLOOKUP('Données projet'!$B$17,Paramètres!$A$1:$I$89,5,0)</f>
        <v>1.2374501313237565</v>
      </c>
      <c r="GB9" s="14">
        <f t="shared" si="49"/>
        <v>0.55630062256803792</v>
      </c>
      <c r="GC9" s="22">
        <f t="shared" si="25"/>
        <v>3.1241158963615416</v>
      </c>
      <c r="GD9" s="60">
        <f t="shared" si="26"/>
        <v>267.12411589636156</v>
      </c>
      <c r="GE9" s="60">
        <f ca="1">AVERAGE(OFFSET($GD$3,0,0,'Données projet'!$E$17+1,1))-AVERAGE(OFFSET($H$3,0,0,'Données projet'!$E$17+1,1))</f>
        <v>445.81166342116865</v>
      </c>
      <c r="GF9" s="60">
        <f t="shared" si="50"/>
        <v>230.82970731138215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2.6666666666666665</v>
      </c>
      <c r="GU9" s="13">
        <f>IF('Données projet'!$A$270&gt;35,GU8+GT9-HC8,IF(A9&lt;'Données projet'!$A$270,$GR$205^A9,IF(A9='Données projet'!$A$270,'Données projet'!$B$270,GU8+GT9-HC8)))</f>
        <v>4.3734482957731098</v>
      </c>
      <c r="GV9" s="18">
        <f>GU9*VLOOKUP('Données projet'!$B$18,Paramètres!$A$1:$I$89,3,0)*VLOOKUP('Données projet'!$B$18,Paramètres!$A$1:$I$89,5,0)</f>
        <v>3.4112896707030256</v>
      </c>
      <c r="GW9" s="14">
        <f t="shared" si="51"/>
        <v>1.3628213830192535</v>
      </c>
      <c r="GX9" s="22">
        <f t="shared" si="28"/>
        <v>8.3149100852329703</v>
      </c>
      <c r="GY9" s="60">
        <f t="shared" si="29"/>
        <v>272.31491008523295</v>
      </c>
      <c r="GZ9" s="60">
        <f ca="1">AVERAGE(OFFSET($GY$3,0,0,'Données projet'!$E$18+1,1))-AVERAGE(OFFSET($H$3,0,0,'Données projet'!$E$18+1,1))</f>
        <v>289.19475369871481</v>
      </c>
      <c r="HA9" s="60">
        <f t="shared" si="52"/>
        <v>283.48738729114024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projet'!$B$18,Paramètres!$A$1:$I$89,3,0)*0.475*44/12</f>
        <v>0</v>
      </c>
      <c r="HH9" s="23">
        <f>EXP(-LN(2)/25)*HH8+(1-EXP(-LN(2)/25))/(LN(2)/25)*Calculateur!HC9*Calculateur!HE9*VLOOKUP('Données projet'!$B$18,Paramètres!$A$1:$I$89,3,0)*0.475*44/12</f>
        <v>0</v>
      </c>
      <c r="HI9" s="23">
        <f>EXP(-LN(2)/2)*HI8+(1-EXP(-LN(2)/2))/(LN(2)/2)*HC9*HF9*VLOOKUP('Données projet'!$B$18,Paramètres!$A$1:$I$89,3,0)*0.475*44/12</f>
        <v>0</v>
      </c>
      <c r="HJ9" s="24">
        <f t="shared" si="30"/>
        <v>0</v>
      </c>
    </row>
    <row r="10" spans="1:218" s="5" customFormat="1" x14ac:dyDescent="0.3">
      <c r="A10" s="11">
        <f t="shared" si="31"/>
        <v>7</v>
      </c>
      <c r="B10" s="75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8">
        <f t="shared" si="1"/>
        <v>256.66666666666669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3.5781087786895851</v>
      </c>
      <c r="P10" s="14">
        <f t="shared" si="33"/>
        <v>1.4215440842341414</v>
      </c>
      <c r="Q10" s="22">
        <f t="shared" si="2"/>
        <v>8.707728736258824</v>
      </c>
      <c r="R10" s="60">
        <f t="shared" si="0"/>
        <v>273.92995095848107</v>
      </c>
      <c r="S10" s="60">
        <f ca="1">AVERAGE(OFFSET($R$3,0,0,'Données projet'!$E$9+1,1))-AVERAGE(OFFSET($H$3,0,0,'Données projet'!$E$9+1,1))</f>
        <v>456.86147223520601</v>
      </c>
      <c r="T10" s="60">
        <f t="shared" si="34"/>
        <v>244.45149244446094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2.44</v>
      </c>
      <c r="AI10" s="14">
        <f>IF('Données projet'!$A$62&gt;35,AI9+AH10-AQ9,IF(A10&lt;'Données projet'!$A$62,$AF$205^A10,IF(A10='Données projet'!$A$62,'Données projet'!$B$62,AI9+AH10-AQ9)))</f>
        <v>3.1614939408392924</v>
      </c>
      <c r="AJ10" s="14">
        <f>AI10*VLOOKUP('Données projet'!$B$10,Paramètres!$A$1:$I$89,3,0)*VLOOKUP('Données projet'!$B$10,Paramètres!$A$1:$I$89,5,0)</f>
        <v>2.0714108300379044</v>
      </c>
      <c r="AK10" s="14">
        <f t="shared" si="35"/>
        <v>0.87701075001622153</v>
      </c>
      <c r="AL10" s="22">
        <f t="shared" si="4"/>
        <v>5.1351675852609349</v>
      </c>
      <c r="AM10" s="60">
        <f t="shared" si="5"/>
        <v>270.35738980748317</v>
      </c>
      <c r="AN10" s="60">
        <f ca="1">AVERAGE(OFFSET($AM$3,0,0,'Données projet'!$E$10+1,1))-AVERAGE(OFFSET($H$3,0,0,'Données projet'!$E$10+1,1))</f>
        <v>170.79567854714986</v>
      </c>
      <c r="AO10" s="60">
        <f t="shared" si="36"/>
        <v>155.92788004111191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0.9</v>
      </c>
      <c r="BD10" s="13">
        <f>IF('Données projet'!$A$88&gt;35,BD9+BC10-BL9,IF(A10&lt;'Données projet'!$A$88,$BA$205^A10,IF(A10='Données projet'!$A$88,'Données projet'!$B$88,BD9+BC10-BL9)))</f>
        <v>4.6555367217460804</v>
      </c>
      <c r="BE10" s="14">
        <f>BD10*VLOOKUP('Données projet'!$B$11,Paramètres!$A$1:$I$89,3,0)*VLOOKUP('Données projet'!$B$11,Paramètres!$A$1:$I$89,5,0)</f>
        <v>3.7765713886804204</v>
      </c>
      <c r="BF10" s="14">
        <f t="shared" si="37"/>
        <v>1.490992954829151</v>
      </c>
      <c r="BG10" s="22">
        <f t="shared" si="7"/>
        <v>9.1743412316125035</v>
      </c>
      <c r="BH10" s="60">
        <f t="shared" si="8"/>
        <v>274.39656345383474</v>
      </c>
      <c r="BI10" s="60">
        <f ca="1">AVERAGE(OFFSET($BH$3,0,0,'Données projet'!$E$11+1,1))-AVERAGE(OFFSET($H$3,0,0,'Données projet'!$E$11+1,1))</f>
        <v>256.19915261735281</v>
      </c>
      <c r="BJ10" s="60">
        <f t="shared" si="38"/>
        <v>297.47246687305056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2.2649572649572649</v>
      </c>
      <c r="BY10" s="13">
        <f>IF('Données projet'!$A$114&gt;35,BY9+BX10-CG9,IF(A10&lt;'Données projet'!$A$114,$BV$205^A10,IF(A10='Données projet'!$A$114,'Données projet'!$B$114,BY9+BX10-CG9)))</f>
        <v>5.1824755269514737</v>
      </c>
      <c r="BZ10" s="14">
        <f>BY10*VLOOKUP('Données projet'!$B$12,Paramètres!$A$1:$I$89,3,0)*VLOOKUP('Données projet'!$B$12,Paramètres!$A$1:$I$89,5,0)</f>
        <v>4.9316437114470224</v>
      </c>
      <c r="CA10" s="14">
        <f t="shared" si="39"/>
        <v>1.8874676857212829</v>
      </c>
      <c r="CB10" s="22">
        <f t="shared" si="10"/>
        <v>11.876619016734798</v>
      </c>
      <c r="CC10" s="60">
        <f t="shared" si="11"/>
        <v>277.09884123895705</v>
      </c>
      <c r="CD10" s="60">
        <f ca="1">AVERAGE(OFFSET($CC$3,0,0,'Données projet'!$E$12+1,1))-AVERAGE(OFFSET($H$3,0,0,'Données projet'!$E$12+1,1))</f>
        <v>353.53401919391234</v>
      </c>
      <c r="CE10" s="60">
        <f t="shared" si="40"/>
        <v>244.7141066773861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2.1</v>
      </c>
      <c r="CT10" s="13">
        <f>IF('Données projet'!$A$140&gt;35,CT9+CS10-DB9,IF(A10&lt;'Données projet'!$A$140,$CQ$205^A10,IF(A10='Données projet'!$A$140,'Données projet'!$B$140,CT9+CS10-DB9)))</f>
        <v>3.6994507637402658</v>
      </c>
      <c r="CU10" s="18">
        <f>CT10*VLOOKUP('Données projet'!$B$13,Paramètres!$A$1:$I$89,3,0)*VLOOKUP('Données projet'!$B$13,Paramètres!$A$1:$I$89,5,0)</f>
        <v>3.1164173233748005</v>
      </c>
      <c r="CV10" s="14">
        <f t="shared" si="41"/>
        <v>1.2581898046809412</v>
      </c>
      <c r="CW10" s="22">
        <f t="shared" si="13"/>
        <v>7.6191074146970825</v>
      </c>
      <c r="CX10" s="60">
        <f t="shared" si="14"/>
        <v>272.84132963691928</v>
      </c>
      <c r="CY10" s="60">
        <f ca="1">AVERAGE(OFFSET($CX$3,0,0,'Données projet'!$E$13+1,1))-AVERAGE(OFFSET($H$3,0,0,'Données projet'!$E$13+1,1))</f>
        <v>403.33327536410098</v>
      </c>
      <c r="CZ10" s="60">
        <f t="shared" si="42"/>
        <v>218.26721063098552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2.4933333333333332</v>
      </c>
      <c r="DO10" s="13">
        <f>IF('Données projet'!$A$166&gt;35,DO9+DN10-DW9,IF(A10&lt;'Données projet'!$A$166,$DL$205^A10,IF(A10='Données projet'!$A$166,'Données projet'!$B$166,DO9+DN10-DW9)))</f>
        <v>5.4200931160999835</v>
      </c>
      <c r="DP10" s="18">
        <f>DO10*VLOOKUP('Données projet'!$B$14,Paramètres!$A$1:$I$89,3,0)*VLOOKUP('Données projet'!$B$14,Paramètres!$A$1:$I$89,5,0)</f>
        <v>4.312226083169147</v>
      </c>
      <c r="DQ10" s="14">
        <f t="shared" si="43"/>
        <v>1.6763871756998234</v>
      </c>
      <c r="DR10" s="22">
        <f t="shared" si="16"/>
        <v>10.430168092530124</v>
      </c>
      <c r="DS10" s="60">
        <f t="shared" si="17"/>
        <v>275.65239031475232</v>
      </c>
      <c r="DT10" s="60">
        <f ca="1">AVERAGE(OFFSET($DS$3,0,0,'Données projet'!$E$14+1,1))-AVERAGE(OFFSET($H$3,0,0,'Données projet'!$E$14+1,1))</f>
        <v>317.13087551964747</v>
      </c>
      <c r="DU10" s="60">
        <f t="shared" si="44"/>
        <v>293.43300041793185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0.59333333333333338</v>
      </c>
      <c r="EJ10" s="13">
        <f>IF('Données projet'!$A$192&gt;35,EJ9+EI10-ER9,IF(A10&lt;'Données projet'!$A$192,$EG$205^A10,IF(A10='Données projet'!$A$192,'Données projet'!$B$192,EJ9+EI10-ER9)))</f>
        <v>2.7736309177386498</v>
      </c>
      <c r="EK10" s="18">
        <f>EJ10*VLOOKUP('Données projet'!$B$15,Paramètres!$A$1:$I$89,3,0)*VLOOKUP('Données projet'!$B$15,Paramètres!$A$1:$I$89,5,0)</f>
        <v>2.2067007581528699</v>
      </c>
      <c r="EL10" s="14">
        <f t="shared" si="45"/>
        <v>0.9274356207760176</v>
      </c>
      <c r="EM10" s="22">
        <f t="shared" si="19"/>
        <v>5.4586208599678123</v>
      </c>
      <c r="EN10" s="60">
        <f t="shared" si="20"/>
        <v>270.68084308219005</v>
      </c>
      <c r="EO10" s="60">
        <f ca="1">AVERAGE(OFFSET($EN$3,0,0,'Données projet'!$E$15+1,1))-AVERAGE(OFFSET($H$3,0,0,'Données projet'!$E$15+1,1))</f>
        <v>253.03289960511904</v>
      </c>
      <c r="EP10" s="60">
        <f t="shared" si="46"/>
        <v>236.85088713056018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0.59333333333333338</v>
      </c>
      <c r="FE10" s="13">
        <f>IF('Données projet'!$A$218&gt;35,FE9+FD10-FM9,IF(A10&lt;'Données projet'!$A$218,$FB$205^A10,IF(A10='Données projet'!$A$218,'Données projet'!$B$218,FE9+FD10-FM9)))</f>
        <v>2.7736309177386498</v>
      </c>
      <c r="FF10" s="18">
        <f>FE10*VLOOKUP('Données projet'!$B$16,Paramètres!$A$1:$I$89,3,0)*VLOOKUP('Données projet'!$B$16,Paramètres!$A$1:$I$89,5,0)</f>
        <v>2.4230439697364847</v>
      </c>
      <c r="FG10" s="14">
        <f t="shared" si="47"/>
        <v>1.0073344929802033</v>
      </c>
      <c r="FH10" s="22">
        <f t="shared" si="22"/>
        <v>5.9745758225648977</v>
      </c>
      <c r="FI10" s="60">
        <f t="shared" si="23"/>
        <v>271.1967980447871</v>
      </c>
      <c r="FJ10" s="60">
        <f ca="1">AVERAGE(OFFSET($FI$3,0,0,'Données projet'!$E$16+1,1))-AVERAGE(OFFSET($H$3,0,0,'Données projet'!$E$16+1,1))</f>
        <v>274.38315511766132</v>
      </c>
      <c r="FK10" s="60">
        <f t="shared" si="48"/>
        <v>255.96663040027175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0.16666666666666666</v>
      </c>
      <c r="FZ10" s="13">
        <f>IF('Données projet'!$A$244&gt;35,FZ9+FY10-GH9,IF(A10&lt;'Données projet'!$A$244,$FW$205^A10,IF(A10='Données projet'!$A$244,'Données projet'!$B$244,FZ9+FY10-GH9)))</f>
        <v>1.533017648565018</v>
      </c>
      <c r="GA10" s="18">
        <f>FZ10*VLOOKUP('Données projet'!$B$17,Paramètres!$A$1:$I$89,3,0)*VLOOKUP('Données projet'!$B$17,Paramètres!$A$1:$I$89,5,0)</f>
        <v>1.3153291424687856</v>
      </c>
      <c r="GB10" s="14">
        <f t="shared" si="49"/>
        <v>0.58712543942019213</v>
      </c>
      <c r="GC10" s="22">
        <f t="shared" si="25"/>
        <v>3.3134417301233028</v>
      </c>
      <c r="GD10" s="60">
        <f t="shared" si="26"/>
        <v>268.53566395234554</v>
      </c>
      <c r="GE10" s="60">
        <f ca="1">AVERAGE(OFFSET($GD$3,0,0,'Données projet'!$E$17+1,1))-AVERAGE(OFFSET($H$3,0,0,'Données projet'!$E$17+1,1))</f>
        <v>445.81166342116865</v>
      </c>
      <c r="GF10" s="60">
        <f t="shared" si="50"/>
        <v>230.82970731138215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2.6666666666666665</v>
      </c>
      <c r="GU10" s="13">
        <f>IF('Données projet'!$A$270&gt;35,GU9+GT10-HC9,IF(A10&lt;'Données projet'!$A$270,$GR$205^A10,IF(A10='Données projet'!$A$270,'Données projet'!$B$270,GU9+GT10-HC9)))</f>
        <v>5.5927833467405659</v>
      </c>
      <c r="GV10" s="18">
        <f>GU10*VLOOKUP('Données projet'!$B$18,Paramètres!$A$1:$I$89,3,0)*VLOOKUP('Données projet'!$B$18,Paramètres!$A$1:$I$89,5,0)</f>
        <v>4.3623710104576414</v>
      </c>
      <c r="GW10" s="14">
        <f t="shared" si="51"/>
        <v>1.6936004212396314</v>
      </c>
      <c r="GX10" s="22">
        <f t="shared" si="28"/>
        <v>10.54748357687275</v>
      </c>
      <c r="GY10" s="60">
        <f t="shared" si="29"/>
        <v>275.76970579909499</v>
      </c>
      <c r="GZ10" s="60">
        <f ca="1">AVERAGE(OFFSET($GY$3,0,0,'Données projet'!$E$18+1,1))-AVERAGE(OFFSET($H$3,0,0,'Données projet'!$E$18+1,1))</f>
        <v>289.19475369871481</v>
      </c>
      <c r="HA10" s="60">
        <f t="shared" si="52"/>
        <v>283.48738729114024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projet'!$B$18,Paramètres!$A$1:$I$89,3,0)*0.475*44/12</f>
        <v>0</v>
      </c>
      <c r="HH10" s="23">
        <f>EXP(-LN(2)/25)*HH9+(1-EXP(-LN(2)/25))/(LN(2)/25)*Calculateur!HC10*Calculateur!HE10*VLOOKUP('Données projet'!$B$18,Paramètres!$A$1:$I$89,3,0)*0.475*44/12</f>
        <v>0</v>
      </c>
      <c r="HI10" s="23">
        <f>EXP(-LN(2)/2)*HI9+(1-EXP(-LN(2)/2))/(LN(2)/2)*HC10*HF10*VLOOKUP('Données projet'!$B$18,Paramètres!$A$1:$I$89,3,0)*0.475*44/12</f>
        <v>0</v>
      </c>
      <c r="HJ10" s="24">
        <f t="shared" si="30"/>
        <v>0</v>
      </c>
    </row>
    <row r="11" spans="1:218" s="5" customFormat="1" x14ac:dyDescent="0.3">
      <c r="A11" s="11">
        <f t="shared" si="31"/>
        <v>8</v>
      </c>
      <c r="B11" s="75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8">
        <f t="shared" si="1"/>
        <v>256.66666666666669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4.3133629540748091</v>
      </c>
      <c r="P11" s="14">
        <f t="shared" si="33"/>
        <v>1.6767776864592203</v>
      </c>
      <c r="Q11" s="22">
        <f t="shared" si="2"/>
        <v>10.432828282263435</v>
      </c>
      <c r="R11" s="60">
        <f t="shared" si="0"/>
        <v>276.87727272670787</v>
      </c>
      <c r="S11" s="60">
        <f ca="1">AVERAGE(OFFSET($R$3,0,0,'Données projet'!$E$9+1,1))-AVERAGE(OFFSET($H$3,0,0,'Données projet'!$E$9+1,1))</f>
        <v>456.86147223520601</v>
      </c>
      <c r="T11" s="60">
        <f t="shared" si="34"/>
        <v>244.45149244446094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2.44</v>
      </c>
      <c r="AI11" s="14">
        <f>IF('Données projet'!$A$62&gt;35,AI10+AH11-AQ10,IF(A11&lt;'Données projet'!$A$62,$AF$205^A11,IF(A11='Données projet'!$A$62,'Données projet'!$B$62,AI10+AH11-AQ10)))</f>
        <v>3.7265379404194672</v>
      </c>
      <c r="AJ11" s="14">
        <f>AI11*VLOOKUP('Données projet'!$B$10,Paramètres!$A$1:$I$89,3,0)*VLOOKUP('Données projet'!$B$10,Paramètres!$A$1:$I$89,5,0)</f>
        <v>2.4416276585628349</v>
      </c>
      <c r="AK11" s="14">
        <f t="shared" si="35"/>
        <v>1.0141579851065572</v>
      </c>
      <c r="AL11" s="22">
        <f t="shared" si="4"/>
        <v>6.0188266627241909</v>
      </c>
      <c r="AM11" s="60">
        <f t="shared" si="5"/>
        <v>272.46327110716862</v>
      </c>
      <c r="AN11" s="60">
        <f ca="1">AVERAGE(OFFSET($AM$3,0,0,'Données projet'!$E$10+1,1))-AVERAGE(OFFSET($H$3,0,0,'Données projet'!$E$10+1,1))</f>
        <v>170.79567854714986</v>
      </c>
      <c r="AO11" s="60">
        <f t="shared" si="36"/>
        <v>155.92788004111191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0.9</v>
      </c>
      <c r="BD11" s="13">
        <f>IF('Données projet'!$A$88&gt;35,BD10+BC11-BL10,IF(A11&lt;'Données projet'!$A$88,$BA$205^A11,IF(A11='Données projet'!$A$88,'Données projet'!$B$88,BD10+BC11-BL10)))</f>
        <v>5.7995461347952899</v>
      </c>
      <c r="BE11" s="14">
        <f>BD11*VLOOKUP('Données projet'!$B$11,Paramètres!$A$1:$I$89,3,0)*VLOOKUP('Données projet'!$B$11,Paramètres!$A$1:$I$89,5,0)</f>
        <v>4.7045918245459397</v>
      </c>
      <c r="BF11" s="14">
        <f t="shared" si="37"/>
        <v>1.8104746967554695</v>
      </c>
      <c r="BG11" s="22">
        <f t="shared" si="7"/>
        <v>11.347074191266621</v>
      </c>
      <c r="BH11" s="60">
        <f t="shared" si="8"/>
        <v>277.7915186357111</v>
      </c>
      <c r="BI11" s="60">
        <f ca="1">AVERAGE(OFFSET($BH$3,0,0,'Données projet'!$E$11+1,1))-AVERAGE(OFFSET($H$3,0,0,'Données projet'!$E$11+1,1))</f>
        <v>256.19915261735281</v>
      </c>
      <c r="BJ11" s="60">
        <f t="shared" si="38"/>
        <v>297.47246687305056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2.2649572649572649</v>
      </c>
      <c r="BY11" s="13">
        <f>IF('Données projet'!$A$114&gt;35,BY10+BX11-CG10,IF(A11&lt;'Données projet'!$A$114,$BV$205^A11,IF(A11='Données projet'!$A$114,'Données projet'!$B$114,BY10+BX11-CG10)))</f>
        <v>6.555623619962172</v>
      </c>
      <c r="BZ11" s="14">
        <f>BY11*VLOOKUP('Données projet'!$B$12,Paramètres!$A$1:$I$89,3,0)*VLOOKUP('Données projet'!$B$12,Paramètres!$A$1:$I$89,5,0)</f>
        <v>6.2383314367560025</v>
      </c>
      <c r="CA11" s="14">
        <f t="shared" si="39"/>
        <v>2.3231355067142938</v>
      </c>
      <c r="CB11" s="22">
        <f t="shared" si="10"/>
        <v>14.911221593210763</v>
      </c>
      <c r="CC11" s="60">
        <f t="shared" si="11"/>
        <v>281.35566603765523</v>
      </c>
      <c r="CD11" s="60">
        <f ca="1">AVERAGE(OFFSET($CC$3,0,0,'Données projet'!$E$12+1,1))-AVERAGE(OFFSET($H$3,0,0,'Données projet'!$E$12+1,1))</f>
        <v>353.53401919391234</v>
      </c>
      <c r="CE11" s="60">
        <f t="shared" si="40"/>
        <v>244.7141066773861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2.1</v>
      </c>
      <c r="CT11" s="13">
        <f>IF('Données projet'!$A$140&gt;35,CT10+CS11-DB10,IF(A11&lt;'Données projet'!$A$140,$CQ$205^A11,IF(A11='Données projet'!$A$140,'Données projet'!$B$140,CT10+CS11-DB10)))</f>
        <v>4.4596391171162209</v>
      </c>
      <c r="CU11" s="18">
        <f>CT11*VLOOKUP('Données projet'!$B$13,Paramètres!$A$1:$I$89,3,0)*VLOOKUP('Données projet'!$B$13,Paramètres!$A$1:$I$89,5,0)</f>
        <v>3.7567999922587045</v>
      </c>
      <c r="CV11" s="14">
        <f t="shared" si="41"/>
        <v>1.4840936789913857</v>
      </c>
      <c r="CW11" s="22">
        <f t="shared" si="13"/>
        <v>9.127889810760573</v>
      </c>
      <c r="CX11" s="60">
        <f t="shared" si="14"/>
        <v>275.57233425520502</v>
      </c>
      <c r="CY11" s="60">
        <f ca="1">AVERAGE(OFFSET($CX$3,0,0,'Données projet'!$E$13+1,1))-AVERAGE(OFFSET($H$3,0,0,'Données projet'!$E$13+1,1))</f>
        <v>403.33327536410098</v>
      </c>
      <c r="CZ11" s="60">
        <f t="shared" si="42"/>
        <v>218.26721063098552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2.4933333333333332</v>
      </c>
      <c r="DO11" s="13">
        <f>IF('Données projet'!$A$166&gt;35,DO10+DN11-DW10,IF(A11&lt;'Données projet'!$A$166,$DL$205^A11,IF(A11='Données projet'!$A$166,'Données projet'!$B$166,DO10+DN11-DW10)))</f>
        <v>6.9002504567506522</v>
      </c>
      <c r="DP11" s="18">
        <f>DO11*VLOOKUP('Données projet'!$B$14,Paramètres!$A$1:$I$89,3,0)*VLOOKUP('Données projet'!$B$14,Paramètres!$A$1:$I$89,5,0)</f>
        <v>5.4898392633908193</v>
      </c>
      <c r="DQ11" s="14">
        <f t="shared" si="43"/>
        <v>2.0750422939399171</v>
      </c>
      <c r="DR11" s="22">
        <f t="shared" si="16"/>
        <v>13.175502045684366</v>
      </c>
      <c r="DS11" s="60">
        <f t="shared" si="17"/>
        <v>279.61994649012883</v>
      </c>
      <c r="DT11" s="60">
        <f ca="1">AVERAGE(OFFSET($DS$3,0,0,'Données projet'!$E$14+1,1))-AVERAGE(OFFSET($H$3,0,0,'Données projet'!$E$14+1,1))</f>
        <v>317.13087551964747</v>
      </c>
      <c r="DU11" s="60">
        <f t="shared" si="44"/>
        <v>293.43300041793185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0.59333333333333338</v>
      </c>
      <c r="EJ11" s="13">
        <f>IF('Données projet'!$A$192&gt;35,EJ10+EI11-ER10,IF(A11&lt;'Données projet'!$A$192,$EG$205^A11,IF(A11='Données projet'!$A$192,'Données projet'!$B$192,EJ10+EI11-ER10)))</f>
        <v>3.2087903055451199</v>
      </c>
      <c r="EK11" s="18">
        <f>EJ11*VLOOKUP('Données projet'!$B$15,Paramètres!$A$1:$I$89,3,0)*VLOOKUP('Données projet'!$B$15,Paramètres!$A$1:$I$89,5,0)</f>
        <v>2.5529135670916978</v>
      </c>
      <c r="EL11" s="14">
        <f t="shared" si="45"/>
        <v>1.0548948517814973</v>
      </c>
      <c r="EM11" s="22">
        <f t="shared" si="19"/>
        <v>6.283599662870814</v>
      </c>
      <c r="EN11" s="60">
        <f t="shared" si="20"/>
        <v>272.72804410731527</v>
      </c>
      <c r="EO11" s="60">
        <f ca="1">AVERAGE(OFFSET($EN$3,0,0,'Données projet'!$E$15+1,1))-AVERAGE(OFFSET($H$3,0,0,'Données projet'!$E$15+1,1))</f>
        <v>253.03289960511904</v>
      </c>
      <c r="EP11" s="60">
        <f t="shared" si="46"/>
        <v>236.85088713056018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0.59333333333333338</v>
      </c>
      <c r="FE11" s="13">
        <f>IF('Données projet'!$A$218&gt;35,FE10+FD11-FM10,IF(A11&lt;'Données projet'!$A$218,$FB$205^A11,IF(A11='Données projet'!$A$218,'Données projet'!$B$218,FE10+FD11-FM10)))</f>
        <v>3.2087903055451199</v>
      </c>
      <c r="FF11" s="18">
        <f>FE11*VLOOKUP('Données projet'!$B$16,Paramètres!$A$1:$I$89,3,0)*VLOOKUP('Données projet'!$B$16,Paramètres!$A$1:$I$89,5,0)</f>
        <v>2.803199210924217</v>
      </c>
      <c r="FG11" s="14">
        <f t="shared" si="47"/>
        <v>1.1457743770695372</v>
      </c>
      <c r="FH11" s="22">
        <f t="shared" si="22"/>
        <v>6.8777956657557882</v>
      </c>
      <c r="FI11" s="60">
        <f t="shared" si="23"/>
        <v>273.32224011020026</v>
      </c>
      <c r="FJ11" s="60">
        <f ca="1">AVERAGE(OFFSET($FI$3,0,0,'Données projet'!$E$16+1,1))-AVERAGE(OFFSET($H$3,0,0,'Données projet'!$E$16+1,1))</f>
        <v>274.38315511766132</v>
      </c>
      <c r="FK11" s="60">
        <f t="shared" si="48"/>
        <v>255.96663040027175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0.16666666666666666</v>
      </c>
      <c r="FZ11" s="13">
        <f>IF('Données projet'!$A$244&gt;35,FZ10+FY11-GH10,IF(A11&lt;'Données projet'!$A$244,$FW$205^A11,IF(A11='Données projet'!$A$244,'Données projet'!$B$244,FZ10+FY11-GH10)))</f>
        <v>1.6294982222188463</v>
      </c>
      <c r="GA11" s="18">
        <f>FZ11*VLOOKUP('Données projet'!$B$17,Paramètres!$A$1:$I$89,3,0)*VLOOKUP('Données projet'!$B$17,Paramètres!$A$1:$I$89,5,0)</f>
        <v>1.3981094746637703</v>
      </c>
      <c r="GB11" s="14">
        <f t="shared" si="49"/>
        <v>0.61965827042049282</v>
      </c>
      <c r="GC11" s="22">
        <f t="shared" si="25"/>
        <v>3.514278822688425</v>
      </c>
      <c r="GD11" s="60">
        <f t="shared" si="26"/>
        <v>269.95872326713288</v>
      </c>
      <c r="GE11" s="60">
        <f ca="1">AVERAGE(OFFSET($GD$3,0,0,'Données projet'!$E$17+1,1))-AVERAGE(OFFSET($H$3,0,0,'Données projet'!$E$17+1,1))</f>
        <v>445.81166342116865</v>
      </c>
      <c r="GF11" s="60">
        <f t="shared" si="50"/>
        <v>230.82970731138215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2.6666666666666665</v>
      </c>
      <c r="GU11" s="13">
        <f>IF('Données projet'!$A$270&gt;35,GU10+GT11-HC10,IF(A11&lt;'Données projet'!$A$270,$GR$205^A11,IF(A11='Données projet'!$A$270,'Données projet'!$B$270,GU10+GT11-HC10)))</f>
        <v>7.1520739352994367</v>
      </c>
      <c r="GV11" s="18">
        <f>GU11*VLOOKUP('Données projet'!$B$18,Paramètres!$A$1:$I$89,3,0)*VLOOKUP('Données projet'!$B$18,Paramètres!$A$1:$I$89,5,0)</f>
        <v>5.5786176695335605</v>
      </c>
      <c r="GW11" s="14">
        <f t="shared" si="51"/>
        <v>2.1046649418345189</v>
      </c>
      <c r="GX11" s="22">
        <f t="shared" si="28"/>
        <v>13.381717214799407</v>
      </c>
      <c r="GY11" s="60">
        <f t="shared" si="29"/>
        <v>279.82616165924384</v>
      </c>
      <c r="GZ11" s="60">
        <f ca="1">AVERAGE(OFFSET($GY$3,0,0,'Données projet'!$E$18+1,1))-AVERAGE(OFFSET($H$3,0,0,'Données projet'!$E$18+1,1))</f>
        <v>289.19475369871481</v>
      </c>
      <c r="HA11" s="60">
        <f t="shared" si="52"/>
        <v>283.48738729114024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projet'!$B$18,Paramètres!$A$1:$I$89,3,0)*0.475*44/12</f>
        <v>0</v>
      </c>
      <c r="HH11" s="23">
        <f>EXP(-LN(2)/25)*HH10+(1-EXP(-LN(2)/25))/(LN(2)/25)*Calculateur!HC11*Calculateur!HE11*VLOOKUP('Données projet'!$B$18,Paramètres!$A$1:$I$89,3,0)*0.475*44/12</f>
        <v>0</v>
      </c>
      <c r="HI11" s="23">
        <f>EXP(-LN(2)/2)*HI10+(1-EXP(-LN(2)/2))/(LN(2)/2)*HC11*HF11*VLOOKUP('Données projet'!$B$18,Paramètres!$A$1:$I$89,3,0)*0.475*44/12</f>
        <v>0</v>
      </c>
      <c r="HJ11" s="24">
        <f t="shared" si="30"/>
        <v>0</v>
      </c>
    </row>
    <row r="12" spans="1:218" s="5" customFormat="1" x14ac:dyDescent="0.3">
      <c r="A12" s="11">
        <f t="shared" si="31"/>
        <v>9</v>
      </c>
      <c r="B12" s="75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8">
        <f t="shared" si="1"/>
        <v>256.66666666666669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5.1997021679141717</v>
      </c>
      <c r="P12" s="14">
        <f t="shared" si="33"/>
        <v>1.977837649208241</v>
      </c>
      <c r="Q12" s="22">
        <f t="shared" si="2"/>
        <v>12.500881848154869</v>
      </c>
      <c r="R12" s="60">
        <f t="shared" si="0"/>
        <v>280.16754851482153</v>
      </c>
      <c r="S12" s="60">
        <f ca="1">AVERAGE(OFFSET($R$3,0,0,'Données projet'!$E$9+1,1))-AVERAGE(OFFSET($H$3,0,0,'Données projet'!$E$9+1,1))</f>
        <v>456.86147223520601</v>
      </c>
      <c r="T12" s="60">
        <f t="shared" si="34"/>
        <v>244.45149244446094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2.44</v>
      </c>
      <c r="AI12" s="14">
        <f>IF('Données projet'!$A$62&gt;35,AI11+AH12-AQ11,IF(A12&lt;'Données projet'!$A$62,$AF$205^A12,IF(A12='Données projet'!$A$62,'Données projet'!$B$62,AI11+AH12-AQ11)))</f>
        <v>4.392570500293008</v>
      </c>
      <c r="AJ12" s="14">
        <f>AI12*VLOOKUP('Données projet'!$B$10,Paramètres!$A$1:$I$89,3,0)*VLOOKUP('Données projet'!$B$10,Paramètres!$A$1:$I$89,5,0)</f>
        <v>2.8780121917919788</v>
      </c>
      <c r="AK12" s="14">
        <f t="shared" si="35"/>
        <v>1.1727523507965758</v>
      </c>
      <c r="AL12" s="22">
        <f t="shared" si="4"/>
        <v>7.0550815783417322</v>
      </c>
      <c r="AM12" s="60">
        <f t="shared" si="5"/>
        <v>274.72174824500843</v>
      </c>
      <c r="AN12" s="60">
        <f ca="1">AVERAGE(OFFSET($AM$3,0,0,'Données projet'!$E$10+1,1))-AVERAGE(OFFSET($H$3,0,0,'Données projet'!$E$10+1,1))</f>
        <v>170.79567854714986</v>
      </c>
      <c r="AO12" s="60">
        <f t="shared" si="36"/>
        <v>155.92788004111191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0.9</v>
      </c>
      <c r="BD12" s="13">
        <f>IF('Données projet'!$A$88&gt;35,BD11+BC12-BL11,IF(A12&lt;'Données projet'!$A$88,$BA$205^A12,IF(A12='Données projet'!$A$88,'Données projet'!$B$88,BD11+BC12-BL11)))</f>
        <v>7.2246740558420788</v>
      </c>
      <c r="BE12" s="14">
        <f>BD12*VLOOKUP('Données projet'!$B$11,Paramètres!$A$1:$I$89,3,0)*VLOOKUP('Données projet'!$B$11,Paramètres!$A$1:$I$89,5,0)</f>
        <v>5.8606555940990948</v>
      </c>
      <c r="BF12" s="14">
        <f t="shared" si="37"/>
        <v>2.1984132231982314</v>
      </c>
      <c r="BG12" s="22">
        <f t="shared" si="7"/>
        <v>14.036211523459508</v>
      </c>
      <c r="BH12" s="60">
        <f t="shared" si="8"/>
        <v>281.70287819012617</v>
      </c>
      <c r="BI12" s="60">
        <f ca="1">AVERAGE(OFFSET($BH$3,0,0,'Données projet'!$E$11+1,1))-AVERAGE(OFFSET($H$3,0,0,'Données projet'!$E$11+1,1))</f>
        <v>256.19915261735281</v>
      </c>
      <c r="BJ12" s="60">
        <f t="shared" si="38"/>
        <v>297.47246687305056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2.2649572649572649</v>
      </c>
      <c r="BY12" s="13">
        <f>IF('Données projet'!$A$114&gt;35,BY11+BX12-CG11,IF(A12&lt;'Données projet'!$A$114,$BV$205^A12,IF(A12='Données projet'!$A$114,'Données projet'!$B$114,BY11+BX12-CG11)))</f>
        <v>8.2926008667302167</v>
      </c>
      <c r="BZ12" s="14">
        <f>BY12*VLOOKUP('Données projet'!$B$12,Paramètres!$A$1:$I$89,3,0)*VLOOKUP('Données projet'!$B$12,Paramètres!$A$1:$I$89,5,0)</f>
        <v>7.8912389847804736</v>
      </c>
      <c r="CA12" s="14">
        <f t="shared" si="39"/>
        <v>2.8593647580749275</v>
      </c>
      <c r="CB12" s="22">
        <f t="shared" si="10"/>
        <v>18.723968185473154</v>
      </c>
      <c r="CC12" s="60">
        <f t="shared" si="11"/>
        <v>286.39063485213984</v>
      </c>
      <c r="CD12" s="60">
        <f ca="1">AVERAGE(OFFSET($CC$3,0,0,'Données projet'!$E$12+1,1))-AVERAGE(OFFSET($H$3,0,0,'Données projet'!$E$12+1,1))</f>
        <v>353.53401919391234</v>
      </c>
      <c r="CE12" s="60">
        <f t="shared" si="40"/>
        <v>244.7141066773861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2.1</v>
      </c>
      <c r="CT12" s="13">
        <f>IF('Données projet'!$A$140&gt;35,CT11+CS12-DB11,IF(A12&lt;'Données projet'!$A$140,$CQ$205^A12,IF(A12='Données projet'!$A$140,'Données projet'!$B$140,CT11+CS12-DB11)))</f>
        <v>5.3760361537574148</v>
      </c>
      <c r="CU12" s="18">
        <f>CT12*VLOOKUP('Données projet'!$B$13,Paramètres!$A$1:$I$89,3,0)*VLOOKUP('Données projet'!$B$13,Paramètres!$A$1:$I$89,5,0)</f>
        <v>4.5287728559252471</v>
      </c>
      <c r="CV12" s="14">
        <f t="shared" si="41"/>
        <v>1.7505578568733651</v>
      </c>
      <c r="CW12" s="22">
        <f t="shared" si="13"/>
        <v>10.93650099145758</v>
      </c>
      <c r="CX12" s="60">
        <f t="shared" si="14"/>
        <v>278.60316765812428</v>
      </c>
      <c r="CY12" s="60">
        <f ca="1">AVERAGE(OFFSET($CX$3,0,0,'Données projet'!$E$13+1,1))-AVERAGE(OFFSET($H$3,0,0,'Données projet'!$E$13+1,1))</f>
        <v>403.33327536410098</v>
      </c>
      <c r="CZ12" s="60">
        <f t="shared" si="42"/>
        <v>218.26721063098552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2.4933333333333332</v>
      </c>
      <c r="DO12" s="13">
        <f>IF('Données projet'!$A$166&gt;35,DO11+DN12-DW11,IF(A12&lt;'Données projet'!$A$166,$DL$205^A12,IF(A12='Données projet'!$A$166,'Données projet'!$B$166,DO11+DN12-DW11)))</f>
        <v>8.784619626636184</v>
      </c>
      <c r="DP12" s="18">
        <f>DO12*VLOOKUP('Données projet'!$B$14,Paramètres!$A$1:$I$89,3,0)*VLOOKUP('Données projet'!$B$14,Paramètres!$A$1:$I$89,5,0)</f>
        <v>6.9890433749517484</v>
      </c>
      <c r="DQ12" s="14">
        <f t="shared" si="43"/>
        <v>2.5685000363009434</v>
      </c>
      <c r="DR12" s="22">
        <f t="shared" si="16"/>
        <v>16.646054774598436</v>
      </c>
      <c r="DS12" s="60">
        <f t="shared" si="17"/>
        <v>284.31272144126513</v>
      </c>
      <c r="DT12" s="60">
        <f ca="1">AVERAGE(OFFSET($DS$3,0,0,'Données projet'!$E$14+1,1))-AVERAGE(OFFSET($H$3,0,0,'Données projet'!$E$14+1,1))</f>
        <v>317.13087551964747</v>
      </c>
      <c r="DU12" s="60">
        <f t="shared" si="44"/>
        <v>293.43300041793185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0.59333333333333338</v>
      </c>
      <c r="EJ12" s="13">
        <f>IF('Données projet'!$A$192&gt;35,EJ11+EI12-ER11,IF(A12&lt;'Données projet'!$A$192,$EG$205^A12,IF(A12='Données projet'!$A$192,'Données projet'!$B$192,EJ11+EI12-ER11)))</f>
        <v>3.7122225452242148</v>
      </c>
      <c r="EK12" s="18">
        <f>EJ12*VLOOKUP('Données projet'!$B$15,Paramètres!$A$1:$I$89,3,0)*VLOOKUP('Données projet'!$B$15,Paramètres!$A$1:$I$89,5,0)</f>
        <v>2.9534442569803852</v>
      </c>
      <c r="EL12" s="14">
        <f t="shared" si="45"/>
        <v>1.1998710459104276</v>
      </c>
      <c r="EM12" s="22">
        <f t="shared" si="19"/>
        <v>7.2336908192014988</v>
      </c>
      <c r="EN12" s="60">
        <f t="shared" si="20"/>
        <v>274.9003574858682</v>
      </c>
      <c r="EO12" s="60">
        <f ca="1">AVERAGE(OFFSET($EN$3,0,0,'Données projet'!$E$15+1,1))-AVERAGE(OFFSET($H$3,0,0,'Données projet'!$E$15+1,1))</f>
        <v>253.03289960511904</v>
      </c>
      <c r="EP12" s="60">
        <f t="shared" si="46"/>
        <v>236.85088713056018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0.59333333333333338</v>
      </c>
      <c r="FE12" s="13">
        <f>IF('Données projet'!$A$218&gt;35,FE11+FD12-FM11,IF(A12&lt;'Données projet'!$A$218,$FB$205^A12,IF(A12='Données projet'!$A$218,'Données projet'!$B$218,FE11+FD12-FM11)))</f>
        <v>3.7122225452242148</v>
      </c>
      <c r="FF12" s="18">
        <f>FE12*VLOOKUP('Données projet'!$B$16,Paramètres!$A$1:$I$89,3,0)*VLOOKUP('Données projet'!$B$16,Paramètres!$A$1:$I$89,5,0)</f>
        <v>3.2429976155078744</v>
      </c>
      <c r="FG12" s="14">
        <f t="shared" si="47"/>
        <v>1.3032403161984112</v>
      </c>
      <c r="FH12" s="22">
        <f t="shared" si="22"/>
        <v>7.9180310643884466</v>
      </c>
      <c r="FI12" s="60">
        <f t="shared" si="23"/>
        <v>275.58469773105514</v>
      </c>
      <c r="FJ12" s="60">
        <f ca="1">AVERAGE(OFFSET($FI$3,0,0,'Données projet'!$E$16+1,1))-AVERAGE(OFFSET($H$3,0,0,'Données projet'!$E$16+1,1))</f>
        <v>274.38315511766132</v>
      </c>
      <c r="FK12" s="60">
        <f t="shared" si="48"/>
        <v>255.96663040027175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0.16666666666666666</v>
      </c>
      <c r="FZ12" s="13">
        <f>IF('Données projet'!$A$244&gt;35,FZ11+FY12-GH11,IF(A12&lt;'Données projet'!$A$244,$FW$205^A12,IF(A12='Données projet'!$A$244,'Données projet'!$B$244,FZ11+FY12-GH11)))</f>
        <v>1.7320508075688772</v>
      </c>
      <c r="GA12" s="18">
        <f>FZ12*VLOOKUP('Données projet'!$B$17,Paramètres!$A$1:$I$89,3,0)*VLOOKUP('Données projet'!$B$17,Paramètres!$A$1:$I$89,5,0)</f>
        <v>1.4860995928940968</v>
      </c>
      <c r="GB12" s="14">
        <f t="shared" si="49"/>
        <v>0.65399375724497177</v>
      </c>
      <c r="GC12" s="22">
        <f t="shared" si="25"/>
        <v>3.7273292514922112</v>
      </c>
      <c r="GD12" s="60">
        <f t="shared" si="26"/>
        <v>271.39399591815891</v>
      </c>
      <c r="GE12" s="60">
        <f ca="1">AVERAGE(OFFSET($GD$3,0,0,'Données projet'!$E$17+1,1))-AVERAGE(OFFSET($H$3,0,0,'Données projet'!$E$17+1,1))</f>
        <v>445.81166342116865</v>
      </c>
      <c r="GF12" s="60">
        <f t="shared" si="50"/>
        <v>230.82970731138215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2.6666666666666665</v>
      </c>
      <c r="GU12" s="13">
        <f>IF('Données projet'!$A$270&gt;35,GU11+GT12-HC11,IF(A12&lt;'Données projet'!$A$270,$GR$205^A12,IF(A12='Données projet'!$A$270,'Données projet'!$B$270,GU11+GT12-HC11)))</f>
        <v>9.1461010385465205</v>
      </c>
      <c r="GV12" s="18">
        <f>GU12*VLOOKUP('Données projet'!$B$18,Paramètres!$A$1:$I$89,3,0)*VLOOKUP('Données projet'!$B$18,Paramètres!$A$1:$I$89,5,0)</f>
        <v>7.1339588100662858</v>
      </c>
      <c r="GW12" s="14">
        <f t="shared" si="51"/>
        <v>2.6155015444227643</v>
      </c>
      <c r="GX12" s="22">
        <f t="shared" si="28"/>
        <v>16.980310117401761</v>
      </c>
      <c r="GY12" s="60">
        <f t="shared" si="29"/>
        <v>284.64697678406844</v>
      </c>
      <c r="GZ12" s="60">
        <f ca="1">AVERAGE(OFFSET($GY$3,0,0,'Données projet'!$E$18+1,1))-AVERAGE(OFFSET($H$3,0,0,'Données projet'!$E$18+1,1))</f>
        <v>289.19475369871481</v>
      </c>
      <c r="HA12" s="60">
        <f t="shared" si="52"/>
        <v>283.48738729114024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projet'!$B$18,Paramètres!$A$1:$I$89,3,0)*0.475*44/12</f>
        <v>0</v>
      </c>
      <c r="HH12" s="23">
        <f>EXP(-LN(2)/25)*HH11+(1-EXP(-LN(2)/25))/(LN(2)/25)*Calculateur!HC12*Calculateur!HE12*VLOOKUP('Données projet'!$B$18,Paramètres!$A$1:$I$89,3,0)*0.475*44/12</f>
        <v>0</v>
      </c>
      <c r="HI12" s="23">
        <f>EXP(-LN(2)/2)*HI11+(1-EXP(-LN(2)/2))/(LN(2)/2)*HC12*HF12*VLOOKUP('Données projet'!$B$18,Paramètres!$A$1:$I$89,3,0)*0.475*44/12</f>
        <v>0</v>
      </c>
      <c r="HJ12" s="24">
        <f t="shared" si="30"/>
        <v>0</v>
      </c>
    </row>
    <row r="13" spans="1:218" s="5" customFormat="1" x14ac:dyDescent="0.3">
      <c r="A13" s="11">
        <f t="shared" si="31"/>
        <v>10</v>
      </c>
      <c r="B13" s="75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8">
        <f t="shared" si="1"/>
        <v>256.66666666666669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6.2681724035000874</v>
      </c>
      <c r="P13" s="14">
        <f t="shared" si="33"/>
        <v>2.3329519459947301</v>
      </c>
      <c r="Q13" s="22">
        <f t="shared" si="2"/>
        <v>14.98029157537014</v>
      </c>
      <c r="R13" s="60">
        <f t="shared" si="0"/>
        <v>283.86918046425899</v>
      </c>
      <c r="S13" s="60">
        <f ca="1">AVERAGE(OFFSET($R$3,0,0,'Données projet'!$E$9+1,1))-AVERAGE(OFFSET($H$3,0,0,'Données projet'!$E$9+1,1))</f>
        <v>456.86147223520601</v>
      </c>
      <c r="T13" s="60">
        <f t="shared" si="34"/>
        <v>244.45149244446094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2.44</v>
      </c>
      <c r="AI13" s="14">
        <f>IF('Données projet'!$A$62&gt;35,AI12+AH13-AQ12,IF(A13&lt;'Données projet'!$A$62,$AF$205^A13,IF(A13='Données projet'!$A$62,'Données projet'!$B$62,AI12+AH13-AQ12)))</f>
        <v>5.1776409923985671</v>
      </c>
      <c r="AJ13" s="14">
        <f>AI13*VLOOKUP('Données projet'!$B$10,Paramètres!$A$1:$I$89,3,0)*VLOOKUP('Données projet'!$B$10,Paramètres!$A$1:$I$89,5,0)</f>
        <v>3.3923903782195413</v>
      </c>
      <c r="AK13" s="14">
        <f t="shared" si="35"/>
        <v>1.3561477565592379</v>
      </c>
      <c r="AL13" s="22">
        <f t="shared" si="4"/>
        <v>8.2703705847397071</v>
      </c>
      <c r="AM13" s="60">
        <f t="shared" si="5"/>
        <v>277.15925947362854</v>
      </c>
      <c r="AN13" s="60">
        <f ca="1">AVERAGE(OFFSET($AM$3,0,0,'Données projet'!$E$10+1,1))-AVERAGE(OFFSET($H$3,0,0,'Données projet'!$E$10+1,1))</f>
        <v>170.79567854714986</v>
      </c>
      <c r="AO13" s="60">
        <f t="shared" si="36"/>
        <v>155.92788004111191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>
        <f>VLOOKUP(A13,'Données projet'!$A$87:$I$107,2,0)</f>
        <v>9</v>
      </c>
      <c r="BB13" s="13">
        <f>VLOOKUP(A13,'Données projet'!$A$87:$I$107,9,0)</f>
        <v>0.9</v>
      </c>
      <c r="BC13" s="13">
        <f t="array" ref="BC13">INDEX(BB:BB,MIN(IF(ISNUMBER(BB13:BB209),ROW(BB13:BB209),"")))</f>
        <v>0.9</v>
      </c>
      <c r="BD13" s="13">
        <f>IF('Données projet'!$A$88&gt;35,BD12+BC13-BL12,IF(A13&lt;'Données projet'!$A$88,$BA$205^A13,IF(A13='Données projet'!$A$88,'Données projet'!$B$88,BD12+BC13-BL12)))</f>
        <v>9</v>
      </c>
      <c r="BE13" s="14">
        <f>BD13*VLOOKUP('Données projet'!$B$11,Paramètres!$A$1:$I$89,3,0)*VLOOKUP('Données projet'!$B$11,Paramètres!$A$1:$I$89,5,0)</f>
        <v>7.3007999999999997</v>
      </c>
      <c r="BF13" s="14">
        <f t="shared" si="37"/>
        <v>2.6694770761469542</v>
      </c>
      <c r="BG13" s="22">
        <f t="shared" si="7"/>
        <v>17.364899240955943</v>
      </c>
      <c r="BH13" s="60">
        <f t="shared" si="8"/>
        <v>286.25378812984479</v>
      </c>
      <c r="BI13" s="60">
        <f ca="1">AVERAGE(OFFSET($BH$3,0,0,'Données projet'!$E$11+1,1))-AVERAGE(OFFSET($H$3,0,0,'Données projet'!$E$11+1,1))</f>
        <v>256.19915261735281</v>
      </c>
      <c r="BJ13" s="60">
        <f t="shared" si="38"/>
        <v>297.47246687305056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2.2649572649572649</v>
      </c>
      <c r="BY13" s="13">
        <f>IF('Données projet'!$A$114&gt;35,BY12+BX13-CG12,IF(A13&lt;'Données projet'!$A$114,$BV$205^A13,IF(A13='Données projet'!$A$114,'Données projet'!$B$114,BY12+BX13-CG12)))</f>
        <v>10.489807396125579</v>
      </c>
      <c r="BZ13" s="14">
        <f>BY13*VLOOKUP('Données projet'!$B$12,Paramètres!$A$1:$I$89,3,0)*VLOOKUP('Données projet'!$B$12,Paramètres!$A$1:$I$89,5,0)</f>
        <v>9.9821007181531005</v>
      </c>
      <c r="CA13" s="14">
        <f t="shared" si="39"/>
        <v>3.5193671639432234</v>
      </c>
      <c r="CB13" s="22">
        <f t="shared" si="10"/>
        <v>23.515056561317763</v>
      </c>
      <c r="CC13" s="60">
        <f t="shared" si="11"/>
        <v>292.40394545020661</v>
      </c>
      <c r="CD13" s="60">
        <f ca="1">AVERAGE(OFFSET($CC$3,0,0,'Données projet'!$E$12+1,1))-AVERAGE(OFFSET($H$3,0,0,'Données projet'!$E$12+1,1))</f>
        <v>353.53401919391234</v>
      </c>
      <c r="CE13" s="60">
        <f t="shared" si="40"/>
        <v>244.7141066773861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2.1</v>
      </c>
      <c r="CT13" s="13">
        <f>IF('Données projet'!$A$140&gt;35,CT12+CS13-DB12,IF(A13&lt;'Données projet'!$A$140,$CQ$205^A13,IF(A13='Données projet'!$A$140,'Données projet'!$B$140,CT12+CS13-DB12)))</f>
        <v>6.4807406984078657</v>
      </c>
      <c r="CU13" s="18">
        <f>CT13*VLOOKUP('Données projet'!$B$13,Paramètres!$A$1:$I$89,3,0)*VLOOKUP('Données projet'!$B$13,Paramètres!$A$1:$I$89,5,0)</f>
        <v>5.4593759643387862</v>
      </c>
      <c r="CV13" s="14">
        <f t="shared" si="41"/>
        <v>2.0648648084962673</v>
      </c>
      <c r="CW13" s="22">
        <f t="shared" si="13"/>
        <v>13.104719346021051</v>
      </c>
      <c r="CX13" s="60">
        <f t="shared" si="14"/>
        <v>281.99360823490991</v>
      </c>
      <c r="CY13" s="60">
        <f ca="1">AVERAGE(OFFSET($CX$3,0,0,'Données projet'!$E$13+1,1))-AVERAGE(OFFSET($H$3,0,0,'Données projet'!$E$13+1,1))</f>
        <v>403.33327536410098</v>
      </c>
      <c r="CZ13" s="60">
        <f t="shared" si="42"/>
        <v>218.26721063098552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2.4933333333333332</v>
      </c>
      <c r="DO13" s="13">
        <f>IF('Données projet'!$A$166&gt;35,DO12+DN13-DW12,IF(A13&lt;'Données projet'!$A$166,$DL$205^A13,IF(A13='Données projet'!$A$166,'Données projet'!$B$166,DO12+DN13-DW12)))</f>
        <v>11.183585649298445</v>
      </c>
      <c r="DP13" s="18">
        <f>DO13*VLOOKUP('Données projet'!$B$14,Paramètres!$A$1:$I$89,3,0)*VLOOKUP('Données projet'!$B$14,Paramètres!$A$1:$I$89,5,0)</f>
        <v>8.8976607425818433</v>
      </c>
      <c r="DQ13" s="14">
        <f t="shared" si="43"/>
        <v>3.1793050463331762</v>
      </c>
      <c r="DR13" s="22">
        <f t="shared" si="16"/>
        <v>21.03404874902699</v>
      </c>
      <c r="DS13" s="60">
        <f t="shared" si="17"/>
        <v>289.92293763791582</v>
      </c>
      <c r="DT13" s="60">
        <f ca="1">AVERAGE(OFFSET($DS$3,0,0,'Données projet'!$E$14+1,1))-AVERAGE(OFFSET($H$3,0,0,'Données projet'!$E$14+1,1))</f>
        <v>317.13087551964747</v>
      </c>
      <c r="DU13" s="60">
        <f t="shared" si="44"/>
        <v>293.43300041793185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0.59333333333333338</v>
      </c>
      <c r="EJ13" s="13">
        <f>IF('Données projet'!$A$192&gt;35,EJ12+EI13-ER12,IF(A13&lt;'Données projet'!$A$192,$EG$205^A13,IF(A13='Données projet'!$A$192,'Données projet'!$B$192,EJ12+EI13-ER12)))</f>
        <v>4.2946390736274225</v>
      </c>
      <c r="EK13" s="18">
        <f>EJ13*VLOOKUP('Données projet'!$B$15,Paramètres!$A$1:$I$89,3,0)*VLOOKUP('Données projet'!$B$15,Paramètres!$A$1:$I$89,5,0)</f>
        <v>3.4168148469779775</v>
      </c>
      <c r="EL13" s="14">
        <f t="shared" si="45"/>
        <v>1.364771592526826</v>
      </c>
      <c r="EM13" s="22">
        <f t="shared" si="19"/>
        <v>8.327929715470864</v>
      </c>
      <c r="EN13" s="60">
        <f t="shared" si="20"/>
        <v>277.21681860435973</v>
      </c>
      <c r="EO13" s="60">
        <f ca="1">AVERAGE(OFFSET($EN$3,0,0,'Données projet'!$E$15+1,1))-AVERAGE(OFFSET($H$3,0,0,'Données projet'!$E$15+1,1))</f>
        <v>253.03289960511904</v>
      </c>
      <c r="EP13" s="60">
        <f t="shared" si="46"/>
        <v>236.85088713056018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0.59333333333333338</v>
      </c>
      <c r="FE13" s="13">
        <f>IF('Données projet'!$A$218&gt;35,FE12+FD13-FM12,IF(A13&lt;'Données projet'!$A$218,$FB$205^A13,IF(A13='Données projet'!$A$218,'Données projet'!$B$218,FE12+FD13-FM12)))</f>
        <v>4.2946390736274225</v>
      </c>
      <c r="FF13" s="18">
        <f>FE13*VLOOKUP('Données projet'!$B$16,Paramètres!$A$1:$I$89,3,0)*VLOOKUP('Données projet'!$B$16,Paramètres!$A$1:$I$89,5,0)</f>
        <v>3.7517966947209165</v>
      </c>
      <c r="FG13" s="14">
        <f t="shared" si="47"/>
        <v>1.4823470970863373</v>
      </c>
      <c r="FH13" s="22">
        <f t="shared" si="22"/>
        <v>9.1161337707309666</v>
      </c>
      <c r="FI13" s="60">
        <f t="shared" si="23"/>
        <v>278.00502265961984</v>
      </c>
      <c r="FJ13" s="60">
        <f ca="1">AVERAGE(OFFSET($FI$3,0,0,'Données projet'!$E$16+1,1))-AVERAGE(OFFSET($H$3,0,0,'Données projet'!$E$16+1,1))</f>
        <v>274.38315511766132</v>
      </c>
      <c r="FK13" s="60">
        <f t="shared" si="48"/>
        <v>255.96663040027175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0.16666666666666666</v>
      </c>
      <c r="FZ13" s="13">
        <f>IF('Données projet'!$A$244&gt;35,FZ12+FY13-GH12,IF(A13&lt;'Données projet'!$A$244,$FW$205^A13,IF(A13='Données projet'!$A$244,'Données projet'!$B$244,FZ12+FY13-GH12)))</f>
        <v>1.841057547098748</v>
      </c>
      <c r="GA13" s="18">
        <f>FZ13*VLOOKUP('Données projet'!$B$17,Paramètres!$A$1:$I$89,3,0)*VLOOKUP('Données projet'!$B$17,Paramètres!$A$1:$I$89,5,0)</f>
        <v>1.579627375410726</v>
      </c>
      <c r="GB13" s="14">
        <f t="shared" si="49"/>
        <v>0.69023178569884602</v>
      </c>
      <c r="GC13" s="22">
        <f t="shared" si="25"/>
        <v>3.9533380389325044</v>
      </c>
      <c r="GD13" s="60">
        <f t="shared" si="26"/>
        <v>272.84222692782134</v>
      </c>
      <c r="GE13" s="60">
        <f ca="1">AVERAGE(OFFSET($GD$3,0,0,'Données projet'!$E$17+1,1))-AVERAGE(OFFSET($H$3,0,0,'Données projet'!$E$17+1,1))</f>
        <v>445.81166342116865</v>
      </c>
      <c r="GF13" s="60">
        <f t="shared" si="50"/>
        <v>230.82970731138215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2.6666666666666665</v>
      </c>
      <c r="GU13" s="13">
        <f>IF('Données projet'!$A$270&gt;35,GU12+GT13-HC12,IF(A13&lt;'Données projet'!$A$270,$GR$205^A13,IF(A13='Données projet'!$A$270,'Données projet'!$B$270,GU12+GT13-HC12)))</f>
        <v>11.696070952851455</v>
      </c>
      <c r="GV13" s="18">
        <f>GU13*VLOOKUP('Données projet'!$B$18,Paramètres!$A$1:$I$89,3,0)*VLOOKUP('Données projet'!$B$18,Paramètres!$A$1:$I$89,5,0)</f>
        <v>9.1229353432241354</v>
      </c>
      <c r="GW13" s="14">
        <f t="shared" si="51"/>
        <v>3.2503265450485803</v>
      </c>
      <c r="GX13" s="22">
        <f t="shared" si="28"/>
        <v>21.550097788741649</v>
      </c>
      <c r="GY13" s="60">
        <f t="shared" si="29"/>
        <v>290.43898667763051</v>
      </c>
      <c r="GZ13" s="60">
        <f ca="1">AVERAGE(OFFSET($GY$3,0,0,'Données projet'!$E$18+1,1))-AVERAGE(OFFSET($H$3,0,0,'Données projet'!$E$18+1,1))</f>
        <v>289.19475369871481</v>
      </c>
      <c r="HA13" s="60">
        <f t="shared" si="52"/>
        <v>283.48738729114024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projet'!$B$18,Paramètres!$A$1:$I$89,3,0)*0.475*44/12</f>
        <v>0</v>
      </c>
      <c r="HH13" s="23">
        <f>EXP(-LN(2)/25)*HH12+(1-EXP(-LN(2)/25))/(LN(2)/25)*Calculateur!HC13*Calculateur!HE13*VLOOKUP('Données projet'!$B$18,Paramètres!$A$1:$I$89,3,0)*0.475*44/12</f>
        <v>0</v>
      </c>
      <c r="HI13" s="23">
        <f>EXP(-LN(2)/2)*HI12+(1-EXP(-LN(2)/2))/(LN(2)/2)*HC13*HF13*VLOOKUP('Données projet'!$B$18,Paramètres!$A$1:$I$89,3,0)*0.475*44/12</f>
        <v>0</v>
      </c>
      <c r="HJ13" s="24">
        <f t="shared" si="30"/>
        <v>0</v>
      </c>
    </row>
    <row r="14" spans="1:218" s="5" customFormat="1" x14ac:dyDescent="0.3">
      <c r="A14" s="11">
        <f t="shared" si="31"/>
        <v>11</v>
      </c>
      <c r="B14" s="75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8">
        <f t="shared" si="1"/>
        <v>256.66666666666669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7.5561991843392455</v>
      </c>
      <c r="P14" s="14">
        <f t="shared" si="33"/>
        <v>2.7518258561310041</v>
      </c>
      <c r="Q14" s="22">
        <f t="shared" si="2"/>
        <v>17.953143612152349</v>
      </c>
      <c r="R14" s="60">
        <f t="shared" si="0"/>
        <v>288.0642547232635</v>
      </c>
      <c r="S14" s="60">
        <f ca="1">AVERAGE(OFFSET($R$3,0,0,'Données projet'!$E$9+1,1))-AVERAGE(OFFSET($H$3,0,0,'Données projet'!$E$9+1,1))</f>
        <v>456.86147223520601</v>
      </c>
      <c r="T14" s="60">
        <f t="shared" si="34"/>
        <v>244.45149244446094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2.44</v>
      </c>
      <c r="AI14" s="14">
        <f>IF('Données projet'!$A$62&gt;35,AI13+AH14-AQ13,IF(A14&lt;'Données projet'!$A$62,$AF$205^A14,IF(A14='Données projet'!$A$62,'Données projet'!$B$62,AI13+AH14-AQ13)))</f>
        <v>6.1030246969007758</v>
      </c>
      <c r="AJ14" s="14">
        <f>AI14*VLOOKUP('Données projet'!$B$10,Paramètres!$A$1:$I$89,3,0)*VLOOKUP('Données projet'!$B$10,Paramètres!$A$1:$I$89,5,0)</f>
        <v>3.9987017814093884</v>
      </c>
      <c r="AK14" s="14">
        <f t="shared" si="35"/>
        <v>1.5682225973552271</v>
      </c>
      <c r="AL14" s="22">
        <f t="shared" si="4"/>
        <v>9.695726626348371</v>
      </c>
      <c r="AM14" s="60">
        <f t="shared" si="5"/>
        <v>279.80683773745949</v>
      </c>
      <c r="AN14" s="60">
        <f ca="1">AVERAGE(OFFSET($AM$3,0,0,'Données projet'!$E$10+1,1))-AVERAGE(OFFSET($H$3,0,0,'Données projet'!$E$10+1,1))</f>
        <v>170.79567854714986</v>
      </c>
      <c r="AO14" s="60">
        <f t="shared" si="36"/>
        <v>155.92788004111191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8</v>
      </c>
      <c r="BD14" s="13">
        <f>IF('Données projet'!$A$88&gt;35,BD13+BC14-BL13,IF(A14&lt;'Données projet'!$A$88,$BA$205^A14,IF(A14='Données projet'!$A$88,'Données projet'!$B$88,BD13+BC14-BL13)))</f>
        <v>17</v>
      </c>
      <c r="BE14" s="14">
        <f>BD14*VLOOKUP('Données projet'!$B$11,Paramètres!$A$1:$I$89,3,0)*VLOOKUP('Données projet'!$B$11,Paramètres!$A$1:$I$89,5,0)</f>
        <v>13.7904</v>
      </c>
      <c r="BF14" s="14">
        <f t="shared" si="37"/>
        <v>4.6825473896592289</v>
      </c>
      <c r="BG14" s="22">
        <f t="shared" si="7"/>
        <v>32.173716703656488</v>
      </c>
      <c r="BH14" s="60">
        <f t="shared" si="8"/>
        <v>302.28482781476765</v>
      </c>
      <c r="BI14" s="60">
        <f ca="1">AVERAGE(OFFSET($BH$3,0,0,'Données projet'!$E$11+1,1))-AVERAGE(OFFSET($H$3,0,0,'Données projet'!$E$11+1,1))</f>
        <v>256.19915261735281</v>
      </c>
      <c r="BJ14" s="60">
        <f t="shared" si="38"/>
        <v>297.47246687305056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2.2649572649572649</v>
      </c>
      <c r="BY14" s="13">
        <f>IF('Données projet'!$A$114&gt;35,BY13+BX14-CG13,IF(A14&lt;'Données projet'!$A$114,$BV$205^A14,IF(A14='Données projet'!$A$114,'Données projet'!$B$114,BY13+BX14-CG13)))</f>
        <v>13.269185503582337</v>
      </c>
      <c r="BZ14" s="14">
        <f>BY14*VLOOKUP('Données projet'!$B$12,Paramètres!$A$1:$I$89,3,0)*VLOOKUP('Données projet'!$B$12,Paramètres!$A$1:$I$89,5,0)</f>
        <v>12.626956925208951</v>
      </c>
      <c r="CA14" s="14">
        <f t="shared" si="39"/>
        <v>4.3317122097359233</v>
      </c>
      <c r="CB14" s="22">
        <f t="shared" si="10"/>
        <v>29.536348743362321</v>
      </c>
      <c r="CC14" s="60">
        <f t="shared" si="11"/>
        <v>299.64745985447348</v>
      </c>
      <c r="CD14" s="60">
        <f ca="1">AVERAGE(OFFSET($CC$3,0,0,'Données projet'!$E$12+1,1))-AVERAGE(OFFSET($H$3,0,0,'Données projet'!$E$12+1,1))</f>
        <v>353.53401919391234</v>
      </c>
      <c r="CE14" s="60">
        <f t="shared" si="40"/>
        <v>244.7141066773861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2.1</v>
      </c>
      <c r="CT14" s="13">
        <f>IF('Données projet'!$A$140&gt;35,CT13+CS14-DB13,IF(A14&lt;'Données projet'!$A$140,$CQ$205^A14,IF(A14='Données projet'!$A$140,'Données projet'!$B$140,CT13+CS14-DB13)))</f>
        <v>7.8124474610620815</v>
      </c>
      <c r="CU14" s="18">
        <f>CT14*VLOOKUP('Données projet'!$B$13,Paramètres!$A$1:$I$89,3,0)*VLOOKUP('Données projet'!$B$13,Paramètres!$A$1:$I$89,5,0)</f>
        <v>6.5812057411986977</v>
      </c>
      <c r="CV14" s="14">
        <f t="shared" si="41"/>
        <v>2.4356045477877388</v>
      </c>
      <c r="CW14" s="22">
        <f t="shared" si="13"/>
        <v>15.70427791998471</v>
      </c>
      <c r="CX14" s="60">
        <f t="shared" si="14"/>
        <v>285.81538903109583</v>
      </c>
      <c r="CY14" s="60">
        <f ca="1">AVERAGE(OFFSET($CX$3,0,0,'Données projet'!$E$13+1,1))-AVERAGE(OFFSET($H$3,0,0,'Données projet'!$E$13+1,1))</f>
        <v>403.33327536410098</v>
      </c>
      <c r="CZ14" s="60">
        <f t="shared" si="42"/>
        <v>218.26721063098552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2.4933333333333332</v>
      </c>
      <c r="DO14" s="13">
        <f>IF('Données projet'!$A$166&gt;35,DO13+DN14-DW13,IF(A14&lt;'Données projet'!$A$166,$DL$205^A14,IF(A14='Données projet'!$A$166,'Données projet'!$B$166,DO13+DN14-DW13)))</f>
        <v>14.237678270776428</v>
      </c>
      <c r="DP14" s="18">
        <f>DO14*VLOOKUP('Données projet'!$B$14,Paramètres!$A$1:$I$89,3,0)*VLOOKUP('Données projet'!$B$14,Paramètres!$A$1:$I$89,5,0)</f>
        <v>11.327496832229725</v>
      </c>
      <c r="DQ14" s="14">
        <f t="shared" si="43"/>
        <v>3.9353632216399443</v>
      </c>
      <c r="DR14" s="22">
        <f t="shared" si="16"/>
        <v>26.582814593823006</v>
      </c>
      <c r="DS14" s="60">
        <f t="shared" si="17"/>
        <v>296.69392570493414</v>
      </c>
      <c r="DT14" s="60">
        <f ca="1">AVERAGE(OFFSET($DS$3,0,0,'Données projet'!$E$14+1,1))-AVERAGE(OFFSET($H$3,0,0,'Données projet'!$E$14+1,1))</f>
        <v>317.13087551964747</v>
      </c>
      <c r="DU14" s="60">
        <f t="shared" si="44"/>
        <v>293.43300041793185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0.59333333333333338</v>
      </c>
      <c r="EJ14" s="13">
        <f>IF('Données projet'!$A$192&gt;35,EJ13+EI14-ER13,IF(A14&lt;'Données projet'!$A$192,$EG$205^A14,IF(A14='Données projet'!$A$192,'Données projet'!$B$192,EJ13+EI14-ER13)))</f>
        <v>4.9684318620540591</v>
      </c>
      <c r="EK14" s="18">
        <f>EJ14*VLOOKUP('Données projet'!$B$15,Paramètres!$A$1:$I$89,3,0)*VLOOKUP('Données projet'!$B$15,Paramètres!$A$1:$I$89,5,0)</f>
        <v>3.9528843894502095</v>
      </c>
      <c r="EL14" s="14">
        <f t="shared" si="45"/>
        <v>1.5523347330670187</v>
      </c>
      <c r="EM14" s="22">
        <f t="shared" si="19"/>
        <v>9.5882566383841734</v>
      </c>
      <c r="EN14" s="60">
        <f t="shared" si="20"/>
        <v>279.69936774949531</v>
      </c>
      <c r="EO14" s="60">
        <f ca="1">AVERAGE(OFFSET($EN$3,0,0,'Données projet'!$E$15+1,1))-AVERAGE(OFFSET($H$3,0,0,'Données projet'!$E$15+1,1))</f>
        <v>253.03289960511904</v>
      </c>
      <c r="EP14" s="60">
        <f t="shared" si="46"/>
        <v>236.85088713056018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0.59333333333333338</v>
      </c>
      <c r="FE14" s="13">
        <f>IF('Données projet'!$A$218&gt;35,FE13+FD14-FM13,IF(A14&lt;'Données projet'!$A$218,$FB$205^A14,IF(A14='Données projet'!$A$218,'Données projet'!$B$218,FE13+FD14-FM13)))</f>
        <v>4.9684318620540591</v>
      </c>
      <c r="FF14" s="18">
        <f>FE14*VLOOKUP('Données projet'!$B$16,Paramètres!$A$1:$I$89,3,0)*VLOOKUP('Données projet'!$B$16,Paramètres!$A$1:$I$89,5,0)</f>
        <v>4.3404220746904265</v>
      </c>
      <c r="FG14" s="14">
        <f t="shared" si="47"/>
        <v>1.6860688615358612</v>
      </c>
      <c r="FH14" s="22">
        <f t="shared" si="22"/>
        <v>10.496138380594116</v>
      </c>
      <c r="FI14" s="60">
        <f t="shared" si="23"/>
        <v>280.60724949170526</v>
      </c>
      <c r="FJ14" s="60">
        <f ca="1">AVERAGE(OFFSET($FI$3,0,0,'Données projet'!$E$16+1,1))-AVERAGE(OFFSET($H$3,0,0,'Données projet'!$E$16+1,1))</f>
        <v>274.38315511766132</v>
      </c>
      <c r="FK14" s="60">
        <f t="shared" si="48"/>
        <v>255.96663040027175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0.16666666666666666</v>
      </c>
      <c r="FZ14" s="13">
        <f>IF('Données projet'!$A$244&gt;35,FZ13+FY14-GH13,IF(A14&lt;'Données projet'!$A$244,$FW$205^A14,IF(A14='Données projet'!$A$244,'Données projet'!$B$244,FZ13+FY14-GH13)))</f>
        <v>1.9569246334562107</v>
      </c>
      <c r="GA14" s="18">
        <f>FZ14*VLOOKUP('Données projet'!$B$17,Paramètres!$A$1:$I$89,3,0)*VLOOKUP('Données projet'!$B$17,Paramètres!$A$1:$I$89,5,0)</f>
        <v>1.679041335505429</v>
      </c>
      <c r="GB14" s="14">
        <f t="shared" si="49"/>
        <v>0.72847777629559418</v>
      </c>
      <c r="GC14" s="22">
        <f t="shared" si="25"/>
        <v>4.1930957863867819</v>
      </c>
      <c r="GD14" s="60">
        <f t="shared" si="26"/>
        <v>274.30420689749792</v>
      </c>
      <c r="GE14" s="60">
        <f ca="1">AVERAGE(OFFSET($GD$3,0,0,'Données projet'!$E$17+1,1))-AVERAGE(OFFSET($H$3,0,0,'Données projet'!$E$17+1,1))</f>
        <v>445.81166342116865</v>
      </c>
      <c r="GF14" s="60">
        <f t="shared" si="50"/>
        <v>230.82970731138215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2.6666666666666665</v>
      </c>
      <c r="GU14" s="13">
        <f>IF('Données projet'!$A$270&gt;35,GU13+GT14-HC13,IF(A14&lt;'Données projet'!$A$270,$GR$205^A14,IF(A14='Données projet'!$A$270,'Données projet'!$B$270,GU13+GT14-HC13)))</f>
        <v>14.956982779612416</v>
      </c>
      <c r="GV14" s="18">
        <f>GU14*VLOOKUP('Données projet'!$B$18,Paramètres!$A$1:$I$89,3,0)*VLOOKUP('Données projet'!$B$18,Paramètres!$A$1:$I$89,5,0)</f>
        <v>11.666446568097685</v>
      </c>
      <c r="GW14" s="14">
        <f t="shared" si="51"/>
        <v>4.0392339557111736</v>
      </c>
      <c r="GX14" s="22">
        <f t="shared" si="28"/>
        <v>27.354060245633761</v>
      </c>
      <c r="GY14" s="60">
        <f t="shared" si="29"/>
        <v>297.46517135674492</v>
      </c>
      <c r="GZ14" s="60">
        <f ca="1">AVERAGE(OFFSET($GY$3,0,0,'Données projet'!$E$18+1,1))-AVERAGE(OFFSET($H$3,0,0,'Données projet'!$E$18+1,1))</f>
        <v>289.19475369871481</v>
      </c>
      <c r="HA14" s="60">
        <f t="shared" si="52"/>
        <v>283.48738729114024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projet'!$B$18,Paramètres!$A$1:$I$89,3,0)*0.475*44/12</f>
        <v>0</v>
      </c>
      <c r="HH14" s="23">
        <f>EXP(-LN(2)/25)*HH13+(1-EXP(-LN(2)/25))/(LN(2)/25)*Calculateur!HC14*Calculateur!HE14*VLOOKUP('Données projet'!$B$18,Paramètres!$A$1:$I$89,3,0)*0.475*44/12</f>
        <v>0</v>
      </c>
      <c r="HI14" s="23">
        <f>EXP(-LN(2)/2)*HI13+(1-EXP(-LN(2)/2))/(LN(2)/2)*HC14*HF14*VLOOKUP('Données projet'!$B$18,Paramètres!$A$1:$I$89,3,0)*0.475*44/12</f>
        <v>0</v>
      </c>
      <c r="HJ14" s="24">
        <f t="shared" si="30"/>
        <v>0</v>
      </c>
    </row>
    <row r="15" spans="1:218" s="5" customFormat="1" x14ac:dyDescent="0.3">
      <c r="A15" s="11">
        <f t="shared" si="31"/>
        <v>12</v>
      </c>
      <c r="B15" s="75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8">
        <f t="shared" si="1"/>
        <v>256.66666666666669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9.1088984855501316</v>
      </c>
      <c r="P15" s="14">
        <f t="shared" si="33"/>
        <v>3.2459072101643005</v>
      </c>
      <c r="Q15" s="22">
        <f t="shared" si="2"/>
        <v>21.517953253369303</v>
      </c>
      <c r="R15" s="60">
        <f t="shared" si="0"/>
        <v>292.8512865867026</v>
      </c>
      <c r="S15" s="60">
        <f ca="1">AVERAGE(OFFSET($R$3,0,0,'Données projet'!$E$9+1,1))-AVERAGE(OFFSET($H$3,0,0,'Données projet'!$E$9+1,1))</f>
        <v>456.86147223520601</v>
      </c>
      <c r="T15" s="60">
        <f t="shared" si="34"/>
        <v>244.45149244446094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2.44</v>
      </c>
      <c r="AI15" s="14">
        <f>IF('Données projet'!$A$62&gt;35,AI14+AH15-AQ14,IF(A15&lt;'Données projet'!$A$62,$AF$205^A15,IF(A15='Données projet'!$A$62,'Données projet'!$B$62,AI14+AH15-AQ14)))</f>
        <v>7.1937993587550757</v>
      </c>
      <c r="AJ15" s="14">
        <f>AI15*VLOOKUP('Données projet'!$B$10,Paramètres!$A$1:$I$89,3,0)*VLOOKUP('Données projet'!$B$10,Paramètres!$A$1:$I$89,5,0)</f>
        <v>4.7133773398563257</v>
      </c>
      <c r="AK15" s="14">
        <f t="shared" si="35"/>
        <v>1.8134617728493425</v>
      </c>
      <c r="AL15" s="22">
        <f t="shared" si="4"/>
        <v>11.367578121295702</v>
      </c>
      <c r="AM15" s="60">
        <f t="shared" si="5"/>
        <v>282.70091145462902</v>
      </c>
      <c r="AN15" s="60">
        <f ca="1">AVERAGE(OFFSET($AM$3,0,0,'Données projet'!$E$10+1,1))-AVERAGE(OFFSET($H$3,0,0,'Données projet'!$E$10+1,1))</f>
        <v>170.79567854714986</v>
      </c>
      <c r="AO15" s="60">
        <f t="shared" si="36"/>
        <v>155.92788004111191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8</v>
      </c>
      <c r="BD15" s="13">
        <f>IF('Données projet'!$A$88&gt;35,BD14+BC15-BL14,IF(A15&lt;'Données projet'!$A$88,$BA$205^A15,IF(A15='Données projet'!$A$88,'Données projet'!$B$88,BD14+BC15-BL14)))</f>
        <v>25</v>
      </c>
      <c r="BE15" s="14">
        <f>BD15*VLOOKUP('Données projet'!$B$11,Paramètres!$A$1:$I$89,3,0)*VLOOKUP('Données projet'!$B$11,Paramètres!$A$1:$I$89,5,0)</f>
        <v>20.28</v>
      </c>
      <c r="BF15" s="14">
        <f t="shared" si="37"/>
        <v>6.5838102554415308</v>
      </c>
      <c r="BG15" s="22">
        <f t="shared" si="7"/>
        <v>46.787802861560664</v>
      </c>
      <c r="BH15" s="60">
        <f t="shared" si="8"/>
        <v>318.12113619489401</v>
      </c>
      <c r="BI15" s="60">
        <f ca="1">AVERAGE(OFFSET($BH$3,0,0,'Données projet'!$E$11+1,1))-AVERAGE(OFFSET($H$3,0,0,'Données projet'!$E$11+1,1))</f>
        <v>256.19915261735281</v>
      </c>
      <c r="BJ15" s="60">
        <f t="shared" si="38"/>
        <v>297.47246687305056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2.2649572649572649</v>
      </c>
      <c r="BY15" s="13">
        <f>IF('Données projet'!$A$114&gt;35,BY14+BX15-CG14,IF(A15&lt;'Données projet'!$A$114,$BV$205^A15,IF(A15='Données projet'!$A$114,'Données projet'!$B$114,BY14+BX15-CG14)))</f>
        <v>16.784987300482918</v>
      </c>
      <c r="BZ15" s="14">
        <f>BY15*VLOOKUP('Données projet'!$B$12,Paramètres!$A$1:$I$89,3,0)*VLOOKUP('Données projet'!$B$12,Paramètres!$A$1:$I$89,5,0)</f>
        <v>15.972593915139546</v>
      </c>
      <c r="CA15" s="14">
        <f t="shared" si="39"/>
        <v>5.3315638277853701</v>
      </c>
      <c r="CB15" s="22">
        <f t="shared" si="10"/>
        <v>37.104741402260892</v>
      </c>
      <c r="CC15" s="60">
        <f t="shared" si="11"/>
        <v>308.43807473559423</v>
      </c>
      <c r="CD15" s="60">
        <f ca="1">AVERAGE(OFFSET($CC$3,0,0,'Données projet'!$E$12+1,1))-AVERAGE(OFFSET($H$3,0,0,'Données projet'!$E$12+1,1))</f>
        <v>353.53401919391234</v>
      </c>
      <c r="CE15" s="60">
        <f t="shared" si="40"/>
        <v>244.7141066773861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2.1</v>
      </c>
      <c r="CT15" s="13">
        <f>IF('Données projet'!$A$140&gt;35,CT14+CS15-DB14,IF(A15&lt;'Données projet'!$A$140,$CQ$205^A15,IF(A15='Données projet'!$A$140,'Données projet'!$B$140,CT14+CS15-DB14)))</f>
        <v>9.4178024044149407</v>
      </c>
      <c r="CU15" s="18">
        <f>CT15*VLOOKUP('Données projet'!$B$13,Paramètres!$A$1:$I$89,3,0)*VLOOKUP('Données projet'!$B$13,Paramètres!$A$1:$I$89,5,0)</f>
        <v>7.9335567454791462</v>
      </c>
      <c r="CV15" s="14">
        <f t="shared" si="41"/>
        <v>2.8729093976493338</v>
      </c>
      <c r="CW15" s="22">
        <f t="shared" si="13"/>
        <v>18.82126186594877</v>
      </c>
      <c r="CX15" s="60">
        <f t="shared" si="14"/>
        <v>290.15459519928208</v>
      </c>
      <c r="CY15" s="60">
        <f ca="1">AVERAGE(OFFSET($CX$3,0,0,'Données projet'!$E$13+1,1))-AVERAGE(OFFSET($H$3,0,0,'Données projet'!$E$13+1,1))</f>
        <v>403.33327536410098</v>
      </c>
      <c r="CZ15" s="60">
        <f t="shared" si="42"/>
        <v>218.26721063098552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2.4933333333333332</v>
      </c>
      <c r="DO15" s="13">
        <f>IF('Données projet'!$A$166&gt;35,DO14+DN15-DW14,IF(A15&lt;'Données projet'!$A$166,$DL$205^A15,IF(A15='Données projet'!$A$166,'Données projet'!$B$166,DO14+DN15-DW14)))</f>
        <v>18.125804093506943</v>
      </c>
      <c r="DP15" s="18">
        <f>DO15*VLOOKUP('Données projet'!$B$14,Paramètres!$A$1:$I$89,3,0)*VLOOKUP('Données projet'!$B$14,Paramètres!$A$1:$I$89,5,0)</f>
        <v>14.420889736794125</v>
      </c>
      <c r="DQ15" s="14">
        <f t="shared" si="43"/>
        <v>4.8712166528651375</v>
      </c>
      <c r="DR15" s="22">
        <f t="shared" si="16"/>
        <v>33.600418628656548</v>
      </c>
      <c r="DS15" s="60">
        <f t="shared" si="17"/>
        <v>304.93375196198986</v>
      </c>
      <c r="DT15" s="60">
        <f ca="1">AVERAGE(OFFSET($DS$3,0,0,'Données projet'!$E$14+1,1))-AVERAGE(OFFSET($H$3,0,0,'Données projet'!$E$14+1,1))</f>
        <v>317.13087551964747</v>
      </c>
      <c r="DU15" s="60">
        <f t="shared" si="44"/>
        <v>293.43300041793185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0.59333333333333338</v>
      </c>
      <c r="EJ15" s="13">
        <f>IF('Données projet'!$A$192&gt;35,EJ14+EI15-ER14,IF(A15&lt;'Données projet'!$A$192,$EG$205^A15,IF(A15='Données projet'!$A$192,'Données projet'!$B$192,EJ14+EI15-ER14)))</f>
        <v>5.7479370779868049</v>
      </c>
      <c r="EK15" s="18">
        <f>EJ15*VLOOKUP('Données projet'!$B$15,Paramètres!$A$1:$I$89,3,0)*VLOOKUP('Données projet'!$B$15,Paramètres!$A$1:$I$89,5,0)</f>
        <v>4.573058739246302</v>
      </c>
      <c r="EL15" s="14">
        <f t="shared" si="45"/>
        <v>1.7656750306655336</v>
      </c>
      <c r="EM15" s="22">
        <f t="shared" si="19"/>
        <v>11.039961315929778</v>
      </c>
      <c r="EN15" s="60">
        <f t="shared" si="20"/>
        <v>282.37329464926307</v>
      </c>
      <c r="EO15" s="60">
        <f ca="1">AVERAGE(OFFSET($EN$3,0,0,'Données projet'!$E$15+1,1))-AVERAGE(OFFSET($H$3,0,0,'Données projet'!$E$15+1,1))</f>
        <v>253.03289960511904</v>
      </c>
      <c r="EP15" s="60">
        <f t="shared" si="46"/>
        <v>236.85088713056018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0.59333333333333338</v>
      </c>
      <c r="FE15" s="13">
        <f>IF('Données projet'!$A$218&gt;35,FE14+FD15-FM14,IF(A15&lt;'Données projet'!$A$218,$FB$205^A15,IF(A15='Données projet'!$A$218,'Données projet'!$B$218,FE14+FD15-FM14)))</f>
        <v>5.7479370779868049</v>
      </c>
      <c r="FF15" s="18">
        <f>FE15*VLOOKUP('Données projet'!$B$16,Paramètres!$A$1:$I$89,3,0)*VLOOKUP('Données projet'!$B$16,Paramètres!$A$1:$I$89,5,0)</f>
        <v>5.0213978313292733</v>
      </c>
      <c r="FG15" s="14">
        <f t="shared" si="47"/>
        <v>1.9177884932811105</v>
      </c>
      <c r="FH15" s="22">
        <f t="shared" si="22"/>
        <v>12.085749515363085</v>
      </c>
      <c r="FI15" s="60">
        <f t="shared" si="23"/>
        <v>283.41908284869641</v>
      </c>
      <c r="FJ15" s="60">
        <f ca="1">AVERAGE(OFFSET($FI$3,0,0,'Données projet'!$E$16+1,1))-AVERAGE(OFFSET($H$3,0,0,'Données projet'!$E$16+1,1))</f>
        <v>274.38315511766132</v>
      </c>
      <c r="FK15" s="60">
        <f t="shared" si="48"/>
        <v>255.96663040027175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0.16666666666666666</v>
      </c>
      <c r="FZ15" s="13">
        <f>IF('Données projet'!$A$244&gt;35,FZ14+FY15-GH14,IF(A15&lt;'Données projet'!$A$244,$FW$205^A15,IF(A15='Données projet'!$A$244,'Données projet'!$B$244,FZ14+FY15-GH14)))</f>
        <v>2.0800838230519041</v>
      </c>
      <c r="GA15" s="18">
        <f>FZ15*VLOOKUP('Données projet'!$B$17,Paramètres!$A$1:$I$89,3,0)*VLOOKUP('Données projet'!$B$17,Paramètres!$A$1:$I$89,5,0)</f>
        <v>1.784711920178534</v>
      </c>
      <c r="GB15" s="14">
        <f t="shared" si="49"/>
        <v>0.76884299093712538</v>
      </c>
      <c r="GC15" s="22">
        <f t="shared" si="25"/>
        <v>4.4474414701931062</v>
      </c>
      <c r="GD15" s="60">
        <f t="shared" si="26"/>
        <v>275.78077480352641</v>
      </c>
      <c r="GE15" s="60">
        <f ca="1">AVERAGE(OFFSET($GD$3,0,0,'Données projet'!$E$17+1,1))-AVERAGE(OFFSET($H$3,0,0,'Données projet'!$E$17+1,1))</f>
        <v>445.81166342116865</v>
      </c>
      <c r="GF15" s="60">
        <f t="shared" si="50"/>
        <v>230.82970731138215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2.6666666666666665</v>
      </c>
      <c r="GU15" s="13">
        <f>IF('Données projet'!$A$270&gt;35,GU14+GT15-HC14,IF(A15&lt;'Données projet'!$A$270,$GR$205^A15,IF(A15='Données projet'!$A$270,'Données projet'!$B$270,GU14+GT15-HC14)))</f>
        <v>19.127049995800721</v>
      </c>
      <c r="GV15" s="18">
        <f>GU15*VLOOKUP('Données projet'!$B$18,Paramètres!$A$1:$I$89,3,0)*VLOOKUP('Données projet'!$B$18,Paramètres!$A$1:$I$89,5,0)</f>
        <v>14.919098996724562</v>
      </c>
      <c r="GW15" s="14">
        <f t="shared" si="51"/>
        <v>5.019622097301081</v>
      </c>
      <c r="GX15" s="22">
        <f t="shared" si="28"/>
        <v>34.726605905427995</v>
      </c>
      <c r="GY15" s="60">
        <f t="shared" si="29"/>
        <v>306.05993923876133</v>
      </c>
      <c r="GZ15" s="60">
        <f ca="1">AVERAGE(OFFSET($GY$3,0,0,'Données projet'!$E$18+1,1))-AVERAGE(OFFSET($H$3,0,0,'Données projet'!$E$18+1,1))</f>
        <v>289.19475369871481</v>
      </c>
      <c r="HA15" s="60">
        <f t="shared" si="52"/>
        <v>283.48738729114024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projet'!$B$18,Paramètres!$A$1:$I$89,3,0)*0.475*44/12</f>
        <v>0</v>
      </c>
      <c r="HH15" s="23">
        <f>EXP(-LN(2)/25)*HH14+(1-EXP(-LN(2)/25))/(LN(2)/25)*Calculateur!HC15*Calculateur!HE15*VLOOKUP('Données projet'!$B$18,Paramètres!$A$1:$I$89,3,0)*0.475*44/12</f>
        <v>0</v>
      </c>
      <c r="HI15" s="23">
        <f>EXP(-LN(2)/2)*HI14+(1-EXP(-LN(2)/2))/(LN(2)/2)*HC15*HF15*VLOOKUP('Données projet'!$B$18,Paramètres!$A$1:$I$89,3,0)*0.475*44/12</f>
        <v>0</v>
      </c>
      <c r="HJ15" s="24">
        <f t="shared" si="30"/>
        <v>0</v>
      </c>
    </row>
    <row r="16" spans="1:218" s="5" customFormat="1" x14ac:dyDescent="0.3">
      <c r="A16" s="11">
        <f t="shared" si="31"/>
        <v>13</v>
      </c>
      <c r="B16" s="75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8">
        <f t="shared" si="1"/>
        <v>256.66666666666669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10.98065702026792</v>
      </c>
      <c r="P16" s="14">
        <f t="shared" si="33"/>
        <v>3.8286992592655618</v>
      </c>
      <c r="Q16" s="22">
        <f t="shared" si="2"/>
        <v>25.792962186854144</v>
      </c>
      <c r="R16" s="60">
        <f t="shared" si="0"/>
        <v>298.34851774240968</v>
      </c>
      <c r="S16" s="60">
        <f ca="1">AVERAGE(OFFSET($R$3,0,0,'Données projet'!$E$9+1,1))-AVERAGE(OFFSET($H$3,0,0,'Données projet'!$E$9+1,1))</f>
        <v>456.86147223520601</v>
      </c>
      <c r="T16" s="60">
        <f t="shared" si="34"/>
        <v>244.45149244446094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2.44</v>
      </c>
      <c r="AI16" s="14">
        <f>IF('Données projet'!$A$62&gt;35,AI15+AH16-AQ15,IF(A16&lt;'Données projet'!$A$62,$AF$205^A16,IF(A16='Données projet'!$A$62,'Données projet'!$B$62,AI15+AH16-AQ15)))</f>
        <v>8.4795247904379085</v>
      </c>
      <c r="AJ16" s="14">
        <f>AI16*VLOOKUP('Données projet'!$B$10,Paramètres!$A$1:$I$89,3,0)*VLOOKUP('Données projet'!$B$10,Paramètres!$A$1:$I$89,5,0)</f>
        <v>5.5557846426949178</v>
      </c>
      <c r="AK16" s="14">
        <f t="shared" si="35"/>
        <v>2.0970515328194517</v>
      </c>
      <c r="AL16" s="22">
        <f t="shared" si="4"/>
        <v>13.328689672354194</v>
      </c>
      <c r="AM16" s="60">
        <f t="shared" si="5"/>
        <v>285.88424522790973</v>
      </c>
      <c r="AN16" s="60">
        <f ca="1">AVERAGE(OFFSET($AM$3,0,0,'Données projet'!$E$10+1,1))-AVERAGE(OFFSET($H$3,0,0,'Données projet'!$E$10+1,1))</f>
        <v>170.79567854714986</v>
      </c>
      <c r="AO16" s="60">
        <f t="shared" si="36"/>
        <v>155.92788004111191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8</v>
      </c>
      <c r="BD16" s="13">
        <f>IF('Données projet'!$A$88&gt;35,BD15+BC16-BL15,IF(A16&lt;'Données projet'!$A$88,$BA$205^A16,IF(A16='Données projet'!$A$88,'Données projet'!$B$88,BD15+BC16-BL15)))</f>
        <v>33</v>
      </c>
      <c r="BE16" s="14">
        <f>BD16*VLOOKUP('Données projet'!$B$11,Paramètres!$A$1:$I$89,3,0)*VLOOKUP('Données projet'!$B$11,Paramètres!$A$1:$I$89,5,0)</f>
        <v>26.769600000000001</v>
      </c>
      <c r="BF16" s="14">
        <f t="shared" si="37"/>
        <v>8.4142697673415618</v>
      </c>
      <c r="BG16" s="22">
        <f t="shared" si="7"/>
        <v>61.278573178119878</v>
      </c>
      <c r="BH16" s="60">
        <f t="shared" si="8"/>
        <v>333.83412873367541</v>
      </c>
      <c r="BI16" s="60">
        <f ca="1">AVERAGE(OFFSET($BH$3,0,0,'Données projet'!$E$11+1,1))-AVERAGE(OFFSET($H$3,0,0,'Données projet'!$E$11+1,1))</f>
        <v>256.19915261735281</v>
      </c>
      <c r="BJ16" s="60">
        <f t="shared" si="38"/>
        <v>297.47246687305056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2.2649572649572649</v>
      </c>
      <c r="BY16" s="13">
        <f>IF('Données projet'!$A$114&gt;35,BY15+BX16-CG15,IF(A16&lt;'Données projet'!$A$114,$BV$205^A16,IF(A16='Données projet'!$A$114,'Données projet'!$B$114,BY15+BX16-CG15)))</f>
        <v>21.232335519110155</v>
      </c>
      <c r="BZ16" s="14">
        <f>BY16*VLOOKUP('Données projet'!$B$12,Paramètres!$A$1:$I$89,3,0)*VLOOKUP('Données projet'!$B$12,Paramètres!$A$1:$I$89,5,0)</f>
        <v>20.204690479985224</v>
      </c>
      <c r="CA16" s="14">
        <f t="shared" si="39"/>
        <v>6.5622025364151133</v>
      </c>
      <c r="CB16" s="22">
        <f t="shared" si="10"/>
        <v>46.619005336897253</v>
      </c>
      <c r="CC16" s="60">
        <f t="shared" si="11"/>
        <v>319.1745608924528</v>
      </c>
      <c r="CD16" s="60">
        <f ca="1">AVERAGE(OFFSET($CC$3,0,0,'Données projet'!$E$12+1,1))-AVERAGE(OFFSET($H$3,0,0,'Données projet'!$E$12+1,1))</f>
        <v>353.53401919391234</v>
      </c>
      <c r="CE16" s="60">
        <f t="shared" si="40"/>
        <v>244.7141066773861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2.1</v>
      </c>
      <c r="CT16" s="13">
        <f>IF('Données projet'!$A$140&gt;35,CT15+CS16-DB15,IF(A16&lt;'Données projet'!$A$140,$CQ$205^A16,IF(A16='Données projet'!$A$140,'Données projet'!$B$140,CT15+CS16-DB15)))</f>
        <v>11.35303662145153</v>
      </c>
      <c r="CU16" s="18">
        <f>CT16*VLOOKUP('Données projet'!$B$13,Paramètres!$A$1:$I$89,3,0)*VLOOKUP('Données projet'!$B$13,Paramètres!$A$1:$I$89,5,0)</f>
        <v>9.5637980499107691</v>
      </c>
      <c r="CV16" s="14">
        <f t="shared" si="41"/>
        <v>3.3887309065006521</v>
      </c>
      <c r="CW16" s="22">
        <f t="shared" si="13"/>
        <v>22.558987932416557</v>
      </c>
      <c r="CX16" s="60">
        <f t="shared" si="14"/>
        <v>295.11454348797213</v>
      </c>
      <c r="CY16" s="60">
        <f ca="1">AVERAGE(OFFSET($CX$3,0,0,'Données projet'!$E$13+1,1))-AVERAGE(OFFSET($H$3,0,0,'Données projet'!$E$13+1,1))</f>
        <v>403.33327536410098</v>
      </c>
      <c r="CZ16" s="60">
        <f t="shared" si="42"/>
        <v>218.26721063098552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2.4933333333333332</v>
      </c>
      <c r="DO16" s="13">
        <f>IF('Données projet'!$A$166&gt;35,DO15+DN16-DW15,IF(A16&lt;'Données projet'!$A$166,$DL$205^A16,IF(A16='Données projet'!$A$166,'Données projet'!$B$166,DO15+DN16-DW15)))</f>
        <v>23.075726799540639</v>
      </c>
      <c r="DP16" s="18">
        <f>DO16*VLOOKUP('Données projet'!$B$14,Paramètres!$A$1:$I$89,3,0)*VLOOKUP('Données projet'!$B$14,Paramètres!$A$1:$I$89,5,0)</f>
        <v>18.359048241714532</v>
      </c>
      <c r="DQ16" s="14">
        <f t="shared" si="43"/>
        <v>6.0296217509656884</v>
      </c>
      <c r="DR16" s="22">
        <f t="shared" si="16"/>
        <v>42.47693357058472</v>
      </c>
      <c r="DS16" s="60">
        <f t="shared" si="17"/>
        <v>315.03248912614026</v>
      </c>
      <c r="DT16" s="60">
        <f ca="1">AVERAGE(OFFSET($DS$3,0,0,'Données projet'!$E$14+1,1))-AVERAGE(OFFSET($H$3,0,0,'Données projet'!$E$14+1,1))</f>
        <v>317.13087551964747</v>
      </c>
      <c r="DU16" s="60">
        <f t="shared" si="44"/>
        <v>293.43300041793185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0.59333333333333338</v>
      </c>
      <c r="EJ16" s="13">
        <f>IF('Données projet'!$A$192&gt;35,EJ15+EI16-ER15,IF(A16&lt;'Données projet'!$A$192,$EG$205^A16,IF(A16='Données projet'!$A$192,'Données projet'!$B$192,EJ15+EI16-ER15)))</f>
        <v>6.6497401131383391</v>
      </c>
      <c r="EK16" s="18">
        <f>EJ16*VLOOKUP('Données projet'!$B$15,Paramètres!$A$1:$I$89,3,0)*VLOOKUP('Données projet'!$B$15,Paramètres!$A$1:$I$89,5,0)</f>
        <v>5.2905332340128624</v>
      </c>
      <c r="EL16" s="14">
        <f t="shared" si="45"/>
        <v>2.008335088757649</v>
      </c>
      <c r="EM16" s="22">
        <f t="shared" si="19"/>
        <v>12.71219566215864</v>
      </c>
      <c r="EN16" s="60">
        <f t="shared" si="20"/>
        <v>285.26775121771419</v>
      </c>
      <c r="EO16" s="60">
        <f ca="1">AVERAGE(OFFSET($EN$3,0,0,'Données projet'!$E$15+1,1))-AVERAGE(OFFSET($H$3,0,0,'Données projet'!$E$15+1,1))</f>
        <v>253.03289960511904</v>
      </c>
      <c r="EP16" s="60">
        <f t="shared" si="46"/>
        <v>236.85088713056018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0.59333333333333338</v>
      </c>
      <c r="FE16" s="13">
        <f>IF('Données projet'!$A$218&gt;35,FE15+FD16-FM15,IF(A16&lt;'Données projet'!$A$218,$FB$205^A16,IF(A16='Données projet'!$A$218,'Données projet'!$B$218,FE15+FD16-FM15)))</f>
        <v>6.6497401131383391</v>
      </c>
      <c r="FF16" s="18">
        <f>FE16*VLOOKUP('Données projet'!$B$16,Paramètres!$A$1:$I$89,3,0)*VLOOKUP('Données projet'!$B$16,Paramètres!$A$1:$I$89,5,0)</f>
        <v>5.8092129628376536</v>
      </c>
      <c r="FG16" s="14">
        <f t="shared" si="47"/>
        <v>2.1813537921643222</v>
      </c>
      <c r="FH16" s="22">
        <f t="shared" si="22"/>
        <v>13.916903764961774</v>
      </c>
      <c r="FI16" s="60">
        <f t="shared" si="23"/>
        <v>286.47245932051732</v>
      </c>
      <c r="FJ16" s="60">
        <f ca="1">AVERAGE(OFFSET($FI$3,0,0,'Données projet'!$E$16+1,1))-AVERAGE(OFFSET($H$3,0,0,'Données projet'!$E$16+1,1))</f>
        <v>274.38315511766132</v>
      </c>
      <c r="FK16" s="60">
        <f t="shared" si="48"/>
        <v>255.96663040027175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0.16666666666666666</v>
      </c>
      <c r="FZ16" s="13">
        <f>IF('Données projet'!$A$244&gt;35,FZ15+FY16-GH15,IF(A16&lt;'Données projet'!$A$244,$FW$205^A16,IF(A16='Données projet'!$A$244,'Données projet'!$B$244,FZ15+FY16-GH15)))</f>
        <v>2.2109940449165704</v>
      </c>
      <c r="GA16" s="18">
        <f>FZ16*VLOOKUP('Données projet'!$B$17,Paramètres!$A$1:$I$89,3,0)*VLOOKUP('Données projet'!$B$17,Paramètres!$A$1:$I$89,5,0)</f>
        <v>1.8970328905384175</v>
      </c>
      <c r="GB16" s="14">
        <f t="shared" si="49"/>
        <v>0.81144485658720511</v>
      </c>
      <c r="GC16" s="22">
        <f t="shared" si="25"/>
        <v>4.7172654095771263</v>
      </c>
      <c r="GD16" s="60">
        <f t="shared" si="26"/>
        <v>277.27282096513267</v>
      </c>
      <c r="GE16" s="60">
        <f ca="1">AVERAGE(OFFSET($GD$3,0,0,'Données projet'!$E$17+1,1))-AVERAGE(OFFSET($H$3,0,0,'Données projet'!$E$17+1,1))</f>
        <v>445.81166342116865</v>
      </c>
      <c r="GF16" s="60">
        <f t="shared" si="50"/>
        <v>230.82970731138215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2.6666666666666665</v>
      </c>
      <c r="GU16" s="13">
        <f>IF('Données projet'!$A$270&gt;35,GU15+GT16-HC15,IF(A16&lt;'Données projet'!$A$270,$GR$205^A16,IF(A16='Données projet'!$A$270,'Données projet'!$B$270,GU15+GT16-HC15)))</f>
        <v>24.459748796430759</v>
      </c>
      <c r="GV16" s="18">
        <f>GU16*VLOOKUP('Données projet'!$B$18,Paramètres!$A$1:$I$89,3,0)*VLOOKUP('Données projet'!$B$18,Paramètres!$A$1:$I$89,5,0)</f>
        <v>19.078604061215994</v>
      </c>
      <c r="GW16" s="14">
        <f t="shared" si="51"/>
        <v>6.2379664748280286</v>
      </c>
      <c r="GX16" s="22">
        <f t="shared" si="28"/>
        <v>44.093027016943331</v>
      </c>
      <c r="GY16" s="60">
        <f t="shared" si="29"/>
        <v>316.64858257249887</v>
      </c>
      <c r="GZ16" s="60">
        <f ca="1">AVERAGE(OFFSET($GY$3,0,0,'Données projet'!$E$18+1,1))-AVERAGE(OFFSET($H$3,0,0,'Données projet'!$E$18+1,1))</f>
        <v>289.19475369871481</v>
      </c>
      <c r="HA16" s="60">
        <f t="shared" si="52"/>
        <v>283.48738729114024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projet'!$B$18,Paramètres!$A$1:$I$89,3,0)*0.475*44/12</f>
        <v>0</v>
      </c>
      <c r="HH16" s="23">
        <f>EXP(-LN(2)/25)*HH15+(1-EXP(-LN(2)/25))/(LN(2)/25)*Calculateur!HC16*Calculateur!HE16*VLOOKUP('Données projet'!$B$18,Paramètres!$A$1:$I$89,3,0)*0.475*44/12</f>
        <v>0</v>
      </c>
      <c r="HI16" s="23">
        <f>EXP(-LN(2)/2)*HI15+(1-EXP(-LN(2)/2))/(LN(2)/2)*HC16*HF16*VLOOKUP('Données projet'!$B$18,Paramètres!$A$1:$I$89,3,0)*0.475*44/12</f>
        <v>0</v>
      </c>
      <c r="HJ16" s="24">
        <f t="shared" si="30"/>
        <v>0</v>
      </c>
    </row>
    <row r="17" spans="1:218" s="5" customFormat="1" x14ac:dyDescent="0.3">
      <c r="A17" s="11">
        <f t="shared" si="31"/>
        <v>14</v>
      </c>
      <c r="B17" s="75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8">
        <f t="shared" si="1"/>
        <v>256.66666666666669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13.237037254068934</v>
      </c>
      <c r="P17" s="14">
        <f t="shared" si="33"/>
        <v>4.5161297192961545</v>
      </c>
      <c r="Q17" s="22">
        <f t="shared" si="2"/>
        <v>30.920099145277529</v>
      </c>
      <c r="R17" s="60">
        <f t="shared" si="0"/>
        <v>304.69787692305528</v>
      </c>
      <c r="S17" s="60">
        <f ca="1">AVERAGE(OFFSET($R$3,0,0,'Données projet'!$E$9+1,1))-AVERAGE(OFFSET($H$3,0,0,'Données projet'!$E$9+1,1))</f>
        <v>456.86147223520601</v>
      </c>
      <c r="T17" s="60">
        <f t="shared" si="34"/>
        <v>244.45149244446094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2.44</v>
      </c>
      <c r="AI17" s="14">
        <f>IF('Données projet'!$A$62&gt;35,AI16+AH17-AQ16,IF(A17&lt;'Données projet'!$A$62,$AF$205^A17,IF(A17='Données projet'!$A$62,'Données projet'!$B$62,AI16+AH17-AQ16)))</f>
        <v>9.9950439379635601</v>
      </c>
      <c r="AJ17" s="14">
        <f>AI17*VLOOKUP('Données projet'!$B$10,Paramètres!$A$1:$I$89,3,0)*VLOOKUP('Données projet'!$B$10,Paramètres!$A$1:$I$89,5,0)</f>
        <v>6.548752788153724</v>
      </c>
      <c r="AK17" s="14">
        <f t="shared" si="35"/>
        <v>2.4249891545222848</v>
      </c>
      <c r="AL17" s="22">
        <f t="shared" si="4"/>
        <v>15.629267216827381</v>
      </c>
      <c r="AM17" s="60">
        <f t="shared" si="5"/>
        <v>289.40704499460514</v>
      </c>
      <c r="AN17" s="60">
        <f ca="1">AVERAGE(OFFSET($AM$3,0,0,'Données projet'!$E$10+1,1))-AVERAGE(OFFSET($H$3,0,0,'Données projet'!$E$10+1,1))</f>
        <v>170.79567854714986</v>
      </c>
      <c r="AO17" s="60">
        <f t="shared" si="36"/>
        <v>155.92788004111191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8</v>
      </c>
      <c r="BD17" s="13">
        <f>IF('Données projet'!$A$88&gt;35,BD16+BC17-BL16,IF(A17&lt;'Données projet'!$A$88,$BA$205^A17,IF(A17='Données projet'!$A$88,'Données projet'!$B$88,BD16+BC17-BL16)))</f>
        <v>41</v>
      </c>
      <c r="BE17" s="14">
        <f>BD17*VLOOKUP('Données projet'!$B$11,Paramètres!$A$1:$I$89,3,0)*VLOOKUP('Données projet'!$B$11,Paramètres!$A$1:$I$89,5,0)</f>
        <v>33.2592</v>
      </c>
      <c r="BF17" s="14">
        <f t="shared" si="37"/>
        <v>10.193265358024187</v>
      </c>
      <c r="BG17" s="22">
        <f t="shared" si="7"/>
        <v>75.679710498558791</v>
      </c>
      <c r="BH17" s="60">
        <f t="shared" si="8"/>
        <v>349.45748827633656</v>
      </c>
      <c r="BI17" s="60">
        <f ca="1">AVERAGE(OFFSET($BH$3,0,0,'Données projet'!$E$11+1,1))-AVERAGE(OFFSET($H$3,0,0,'Données projet'!$E$11+1,1))</f>
        <v>256.19915261735281</v>
      </c>
      <c r="BJ17" s="60">
        <f t="shared" si="38"/>
        <v>297.47246687305056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2.2649572649572649</v>
      </c>
      <c r="BY17" s="13">
        <f>IF('Données projet'!$A$114&gt;35,BY16+BX17-CG16,IF(A17&lt;'Données projet'!$A$114,$BV$205^A17,IF(A17='Données projet'!$A$114,'Données projet'!$B$114,BY16+BX17-CG16)))</f>
        <v>26.85805258745096</v>
      </c>
      <c r="BZ17" s="14">
        <f>BY17*VLOOKUP('Données projet'!$B$12,Paramètres!$A$1:$I$89,3,0)*VLOOKUP('Données projet'!$B$12,Paramètres!$A$1:$I$89,5,0)</f>
        <v>25.558122842218335</v>
      </c>
      <c r="CA17" s="14">
        <f t="shared" si="39"/>
        <v>8.0768989211970617</v>
      </c>
      <c r="CB17" s="22">
        <f t="shared" si="10"/>
        <v>58.580996237948476</v>
      </c>
      <c r="CC17" s="60">
        <f t="shared" si="11"/>
        <v>332.35877401572623</v>
      </c>
      <c r="CD17" s="60">
        <f ca="1">AVERAGE(OFFSET($CC$3,0,0,'Données projet'!$E$12+1,1))-AVERAGE(OFFSET($H$3,0,0,'Données projet'!$E$12+1,1))</f>
        <v>353.53401919391234</v>
      </c>
      <c r="CE17" s="60">
        <f t="shared" si="40"/>
        <v>244.7141066773861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2.1</v>
      </c>
      <c r="CT17" s="13">
        <f>IF('Données projet'!$A$140&gt;35,CT16+CS17-DB16,IF(A17&lt;'Données projet'!$A$140,$CQ$205^A17,IF(A17='Données projet'!$A$140,'Données projet'!$B$140,CT16+CS17-DB16)))</f>
        <v>13.685935953338433</v>
      </c>
      <c r="CU17" s="18">
        <f>CT17*VLOOKUP('Données projet'!$B$13,Paramètres!$A$1:$I$89,3,0)*VLOOKUP('Données projet'!$B$13,Paramètres!$A$1:$I$89,5,0)</f>
        <v>11.529032447092296</v>
      </c>
      <c r="CV17" s="14">
        <f t="shared" si="41"/>
        <v>3.9971664842854926</v>
      </c>
      <c r="CW17" s="22">
        <f t="shared" si="13"/>
        <v>27.041463138816312</v>
      </c>
      <c r="CX17" s="60">
        <f t="shared" si="14"/>
        <v>300.81924091659408</v>
      </c>
      <c r="CY17" s="60">
        <f ca="1">AVERAGE(OFFSET($CX$3,0,0,'Données projet'!$E$13+1,1))-AVERAGE(OFFSET($H$3,0,0,'Données projet'!$E$13+1,1))</f>
        <v>403.33327536410098</v>
      </c>
      <c r="CZ17" s="60">
        <f t="shared" si="42"/>
        <v>218.26721063098552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2.4933333333333332</v>
      </c>
      <c r="DO17" s="13">
        <f>IF('Données projet'!$A$166&gt;35,DO16+DN17-DW16,IF(A17&lt;'Données projet'!$A$166,$DL$205^A17,IF(A17='Données projet'!$A$166,'Données projet'!$B$166,DO16+DN17-DW16)))</f>
        <v>29.37740938719443</v>
      </c>
      <c r="DP17" s="18">
        <f>DO17*VLOOKUP('Données projet'!$B$14,Paramètres!$A$1:$I$89,3,0)*VLOOKUP('Données projet'!$B$14,Paramètres!$A$1:$I$89,5,0)</f>
        <v>23.372666908451887</v>
      </c>
      <c r="DQ17" s="14">
        <f t="shared" si="43"/>
        <v>7.4635026627966923</v>
      </c>
      <c r="DR17" s="22">
        <f t="shared" si="16"/>
        <v>53.706328669924602</v>
      </c>
      <c r="DS17" s="60">
        <f t="shared" si="17"/>
        <v>327.4841064477024</v>
      </c>
      <c r="DT17" s="60">
        <f ca="1">AVERAGE(OFFSET($DS$3,0,0,'Données projet'!$E$14+1,1))-AVERAGE(OFFSET($H$3,0,0,'Données projet'!$E$14+1,1))</f>
        <v>317.13087551964747</v>
      </c>
      <c r="DU17" s="60">
        <f t="shared" si="44"/>
        <v>293.43300041793185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0.59333333333333338</v>
      </c>
      <c r="EJ17" s="13">
        <f>IF('Données projet'!$A$192&gt;35,EJ16+EI17-ER16,IF(A17&lt;'Données projet'!$A$192,$EG$205^A17,IF(A17='Données projet'!$A$192,'Données projet'!$B$192,EJ16+EI17-ER16)))</f>
        <v>7.6930284678357443</v>
      </c>
      <c r="EK17" s="18">
        <f>EJ17*VLOOKUP('Données projet'!$B$15,Paramètres!$A$1:$I$89,3,0)*VLOOKUP('Données projet'!$B$15,Paramètres!$A$1:$I$89,5,0)</f>
        <v>6.1205734490101191</v>
      </c>
      <c r="EL17" s="14">
        <f t="shared" si="45"/>
        <v>2.2843443774672894</v>
      </c>
      <c r="EM17" s="22">
        <f t="shared" si="19"/>
        <v>14.638565214448152</v>
      </c>
      <c r="EN17" s="60">
        <f t="shared" si="20"/>
        <v>288.41634299222591</v>
      </c>
      <c r="EO17" s="60">
        <f ca="1">AVERAGE(OFFSET($EN$3,0,0,'Données projet'!$E$15+1,1))-AVERAGE(OFFSET($H$3,0,0,'Données projet'!$E$15+1,1))</f>
        <v>253.03289960511904</v>
      </c>
      <c r="EP17" s="60">
        <f t="shared" si="46"/>
        <v>236.85088713056018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0.59333333333333338</v>
      </c>
      <c r="FE17" s="13">
        <f>IF('Données projet'!$A$218&gt;35,FE16+FD17-FM16,IF(A17&lt;'Données projet'!$A$218,$FB$205^A17,IF(A17='Données projet'!$A$218,'Données projet'!$B$218,FE16+FD17-FM16)))</f>
        <v>7.6930284678357443</v>
      </c>
      <c r="FF17" s="18">
        <f>FE17*VLOOKUP('Données projet'!$B$16,Paramètres!$A$1:$I$89,3,0)*VLOOKUP('Données projet'!$B$16,Paramètres!$A$1:$I$89,5,0)</f>
        <v>6.7206296695013066</v>
      </c>
      <c r="FG17" s="14">
        <f t="shared" si="47"/>
        <v>2.4811413684356656</v>
      </c>
      <c r="FH17" s="22">
        <f t="shared" si="22"/>
        <v>16.02641789107356</v>
      </c>
      <c r="FI17" s="60">
        <f t="shared" si="23"/>
        <v>289.80419566885132</v>
      </c>
      <c r="FJ17" s="60">
        <f ca="1">AVERAGE(OFFSET($FI$3,0,0,'Données projet'!$E$16+1,1))-AVERAGE(OFFSET($H$3,0,0,'Données projet'!$E$16+1,1))</f>
        <v>274.38315511766132</v>
      </c>
      <c r="FK17" s="60">
        <f t="shared" si="48"/>
        <v>255.96663040027175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0.16666666666666666</v>
      </c>
      <c r="FZ17" s="13">
        <f>IF('Données projet'!$A$244&gt;35,FZ16+FY17-GH16,IF(A17&lt;'Données projet'!$A$244,$FW$205^A17,IF(A17='Données projet'!$A$244,'Données projet'!$B$244,FZ16+FY17-GH16)))</f>
        <v>2.3501431108118167</v>
      </c>
      <c r="GA17" s="18">
        <f>FZ17*VLOOKUP('Données projet'!$B$17,Paramètres!$A$1:$I$89,3,0)*VLOOKUP('Données projet'!$B$17,Paramètres!$A$1:$I$89,5,0)</f>
        <v>2.0164227890765387</v>
      </c>
      <c r="GB17" s="14">
        <f t="shared" si="49"/>
        <v>0.85640730687974276</v>
      </c>
      <c r="GC17" s="22">
        <f t="shared" si="25"/>
        <v>5.003512417123857</v>
      </c>
      <c r="GD17" s="60">
        <f t="shared" si="26"/>
        <v>278.7812901949016</v>
      </c>
      <c r="GE17" s="60">
        <f ca="1">AVERAGE(OFFSET($GD$3,0,0,'Données projet'!$E$17+1,1))-AVERAGE(OFFSET($H$3,0,0,'Données projet'!$E$17+1,1))</f>
        <v>445.81166342116865</v>
      </c>
      <c r="GF17" s="60">
        <f t="shared" si="50"/>
        <v>230.82970731138215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2.6666666666666665</v>
      </c>
      <c r="GU17" s="13">
        <f>IF('Données projet'!$A$270&gt;35,GU16+GT17-HC16,IF(A17&lt;'Données projet'!$A$270,$GR$205^A17,IF(A17='Données projet'!$A$270,'Données projet'!$B$270,GU16+GT17-HC16)))</f>
        <v>31.279225563578599</v>
      </c>
      <c r="GV17" s="18">
        <f>GU17*VLOOKUP('Données projet'!$B$18,Paramètres!$A$1:$I$89,3,0)*VLOOKUP('Données projet'!$B$18,Paramètres!$A$1:$I$89,5,0)</f>
        <v>24.397795939591308</v>
      </c>
      <c r="GW17" s="14">
        <f t="shared" si="51"/>
        <v>7.75202295846145</v>
      </c>
      <c r="GX17" s="22">
        <f t="shared" si="28"/>
        <v>55.994267914108548</v>
      </c>
      <c r="GY17" s="60">
        <f t="shared" si="29"/>
        <v>329.77204569188632</v>
      </c>
      <c r="GZ17" s="60">
        <f ca="1">AVERAGE(OFFSET($GY$3,0,0,'Données projet'!$E$18+1,1))-AVERAGE(OFFSET($H$3,0,0,'Données projet'!$E$18+1,1))</f>
        <v>289.19475369871481</v>
      </c>
      <c r="HA17" s="60">
        <f t="shared" si="52"/>
        <v>283.48738729114024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projet'!$B$18,Paramètres!$A$1:$I$89,3,0)*0.475*44/12</f>
        <v>0</v>
      </c>
      <c r="HH17" s="23">
        <f>EXP(-LN(2)/25)*HH16+(1-EXP(-LN(2)/25))/(LN(2)/25)*Calculateur!HC17*Calculateur!HE17*VLOOKUP('Données projet'!$B$18,Paramètres!$A$1:$I$89,3,0)*0.475*44/12</f>
        <v>0</v>
      </c>
      <c r="HI17" s="23">
        <f>EXP(-LN(2)/2)*HI16+(1-EXP(-LN(2)/2))/(LN(2)/2)*HC17*HF17*VLOOKUP('Données projet'!$B$18,Paramètres!$A$1:$I$89,3,0)*0.475*44/12</f>
        <v>0</v>
      </c>
      <c r="HJ17" s="24">
        <f t="shared" si="30"/>
        <v>0</v>
      </c>
    </row>
    <row r="18" spans="1:218" s="5" customFormat="1" x14ac:dyDescent="0.3">
      <c r="A18" s="11">
        <f t="shared" si="31"/>
        <v>15</v>
      </c>
      <c r="B18" s="75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8">
        <f t="shared" si="1"/>
        <v>256.66666666666669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15.957073874741019</v>
      </c>
      <c r="P18" s="14">
        <f t="shared" si="33"/>
        <v>5.3269860755326848</v>
      </c>
      <c r="Q18" s="22">
        <f t="shared" si="2"/>
        <v>37.069737746726702</v>
      </c>
      <c r="R18" s="60">
        <f t="shared" si="0"/>
        <v>312.06973774672667</v>
      </c>
      <c r="S18" s="60">
        <f ca="1">AVERAGE(OFFSET($R$3,0,0,'Données projet'!$E$9+1,1))-AVERAGE(OFFSET($H$3,0,0,'Données projet'!$E$9+1,1))</f>
        <v>456.86147223520601</v>
      </c>
      <c r="T18" s="60">
        <f t="shared" si="34"/>
        <v>244.45149244446094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2.44</v>
      </c>
      <c r="AI18" s="14">
        <f>IF('Données projet'!$A$62&gt;35,AI17+AH18-AQ17,IF(A18&lt;'Données projet'!$A$62,$AF$205^A18,IF(A18='Données projet'!$A$62,'Données projet'!$B$62,AI17+AH18-AQ17)))</f>
        <v>11.781427118943881</v>
      </c>
      <c r="AJ18" s="14">
        <f>AI18*VLOOKUP('Données projet'!$B$10,Paramètres!$A$1:$I$89,3,0)*VLOOKUP('Données projet'!$B$10,Paramètres!$A$1:$I$89,5,0)</f>
        <v>7.7191910483320303</v>
      </c>
      <c r="AK18" s="14">
        <f t="shared" si="35"/>
        <v>2.8042097714424661</v>
      </c>
      <c r="AL18" s="22">
        <f t="shared" si="4"/>
        <v>18.328256427773912</v>
      </c>
      <c r="AM18" s="60">
        <f t="shared" si="5"/>
        <v>293.32825642777391</v>
      </c>
      <c r="AN18" s="60">
        <f ca="1">AVERAGE(OFFSET($AM$3,0,0,'Données projet'!$E$10+1,1))-AVERAGE(OFFSET($H$3,0,0,'Données projet'!$E$10+1,1))</f>
        <v>170.79567854714986</v>
      </c>
      <c r="AO18" s="60">
        <f t="shared" si="36"/>
        <v>155.92788004111191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49</v>
      </c>
      <c r="BB18" s="13">
        <f>VLOOKUP(A18,'Données projet'!$A$87:$I$107,9,0)</f>
        <v>8</v>
      </c>
      <c r="BC18" s="13">
        <f t="array" ref="BC18">INDEX(BB:BB,MIN(IF(ISNUMBER(BB18:BB214),ROW(BB18:BB214),"")))</f>
        <v>8</v>
      </c>
      <c r="BD18" s="13">
        <f>IF('Données projet'!$A$88&gt;35,BD17+BC18-BL17,IF(A18&lt;'Données projet'!$A$88,$BA$205^A18,IF(A18='Données projet'!$A$88,'Données projet'!$B$88,BD17+BC18-BL17)))</f>
        <v>49</v>
      </c>
      <c r="BE18" s="14">
        <f>BD18*VLOOKUP('Données projet'!$B$11,Paramètres!$A$1:$I$89,3,0)*VLOOKUP('Données projet'!$B$11,Paramètres!$A$1:$I$89,5,0)</f>
        <v>39.748800000000003</v>
      </c>
      <c r="BF18" s="14">
        <f t="shared" si="37"/>
        <v>11.932041927023215</v>
      </c>
      <c r="BG18" s="22">
        <f t="shared" si="7"/>
        <v>90.010799689565431</v>
      </c>
      <c r="BH18" s="60">
        <f t="shared" si="8"/>
        <v>365.01079968956543</v>
      </c>
      <c r="BI18" s="60">
        <f ca="1">AVERAGE(OFFSET($BH$3,0,0,'Données projet'!$E$11+1,1))-AVERAGE(OFFSET($H$3,0,0,'Données projet'!$E$11+1,1))</f>
        <v>256.19915261735281</v>
      </c>
      <c r="BJ18" s="60">
        <f t="shared" si="38"/>
        <v>297.47246687305056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33.974358974358971</v>
      </c>
      <c r="BW18" s="13">
        <f>VLOOKUP(A18,'Données projet'!$A$113:$I$133,9,0)</f>
        <v>2.2649572649572649</v>
      </c>
      <c r="BX18" s="13">
        <f t="array" ref="BX18">INDEX(BW:BW,MIN(IF(ISNUMBER(BW18:BW214),ROW(BW18:BW214),"")))</f>
        <v>2.2649572649572649</v>
      </c>
      <c r="BY18" s="13">
        <f>IF('Données projet'!$A$114&gt;35,BY17+BX18-CG17,IF(A18&lt;'Données projet'!$A$114,$BV$205^A18,IF(A18='Données projet'!$A$114,'Données projet'!$B$114,BY17+BX18-CG17)))</f>
        <v>33.974358974358971</v>
      </c>
      <c r="BZ18" s="14">
        <f>BY18*VLOOKUP('Données projet'!$B$12,Paramètres!$A$1:$I$89,3,0)*VLOOKUP('Données projet'!$B$12,Paramètres!$A$1:$I$89,5,0)</f>
        <v>32.33</v>
      </c>
      <c r="CA18" s="14">
        <f t="shared" si="39"/>
        <v>9.9412195556634533</v>
      </c>
      <c r="CB18" s="22">
        <f t="shared" si="10"/>
        <v>73.622374059447182</v>
      </c>
      <c r="CC18" s="60">
        <f t="shared" si="11"/>
        <v>348.62237405944717</v>
      </c>
      <c r="CD18" s="60">
        <f ca="1">AVERAGE(OFFSET($CC$3,0,0,'Données projet'!$E$12+1,1))-AVERAGE(OFFSET($H$3,0,0,'Données projet'!$E$12+1,1))</f>
        <v>353.53401919391234</v>
      </c>
      <c r="CE18" s="60">
        <f t="shared" si="40"/>
        <v>244.7141066773861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2.1</v>
      </c>
      <c r="CT18" s="13">
        <f>IF('Données projet'!$A$140&gt;35,CT17+CS18-DB17,IF(A18&lt;'Données projet'!$A$140,$CQ$205^A18,IF(A18='Données projet'!$A$140,'Données projet'!$B$140,CT17+CS18-DB17)))</f>
        <v>16.498215337821566</v>
      </c>
      <c r="CU18" s="18">
        <f>CT18*VLOOKUP('Données projet'!$B$13,Paramètres!$A$1:$I$89,3,0)*VLOOKUP('Données projet'!$B$13,Paramètres!$A$1:$I$89,5,0)</f>
        <v>13.898096600580887</v>
      </c>
      <c r="CV18" s="14">
        <f t="shared" si="41"/>
        <v>4.7148446849071632</v>
      </c>
      <c r="CW18" s="22">
        <f t="shared" si="13"/>
        <v>32.417539405558351</v>
      </c>
      <c r="CX18" s="60">
        <f t="shared" si="14"/>
        <v>307.41753940555833</v>
      </c>
      <c r="CY18" s="60">
        <f ca="1">AVERAGE(OFFSET($CX$3,0,0,'Données projet'!$E$13+1,1))-AVERAGE(OFFSET($H$3,0,0,'Données projet'!$E$13+1,1))</f>
        <v>403.33327536410098</v>
      </c>
      <c r="CZ18" s="60">
        <f t="shared" si="42"/>
        <v>218.26721063098552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37.4</v>
      </c>
      <c r="DM18" s="13">
        <f>VLOOKUP(A18,'Données projet'!$A$165:$I$185,9,0)</f>
        <v>2.4933333333333332</v>
      </c>
      <c r="DN18" s="13">
        <f t="array" ref="DN18">INDEX(DM:DM,MIN(IF(ISNUMBER(DM18:DM214),ROW(DM18:DM214),"")))</f>
        <v>2.4933333333333332</v>
      </c>
      <c r="DO18" s="13">
        <f>IF('Données projet'!$A$166&gt;35,DO17+DN18-DW17,IF(A18&lt;'Données projet'!$A$166,$DL$205^A18,IF(A18='Données projet'!$A$166,'Données projet'!$B$166,DO17+DN18-DW17)))</f>
        <v>37.4</v>
      </c>
      <c r="DP18" s="18">
        <f>DO18*VLOOKUP('Données projet'!$B$14,Paramètres!$A$1:$I$89,3,0)*VLOOKUP('Données projet'!$B$14,Paramètres!$A$1:$I$89,5,0)</f>
        <v>29.755439999999997</v>
      </c>
      <c r="DQ18" s="14">
        <f t="shared" si="43"/>
        <v>9.2383692208639729</v>
      </c>
      <c r="DR18" s="22">
        <f t="shared" si="16"/>
        <v>67.91421772633808</v>
      </c>
      <c r="DS18" s="60">
        <f t="shared" si="17"/>
        <v>342.91421772633805</v>
      </c>
      <c r="DT18" s="60">
        <f ca="1">AVERAGE(OFFSET($DS$3,0,0,'Données projet'!$E$14+1,1))-AVERAGE(OFFSET($H$3,0,0,'Données projet'!$E$14+1,1))</f>
        <v>317.13087551964747</v>
      </c>
      <c r="DU18" s="60">
        <f t="shared" si="44"/>
        <v>293.43300041793185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8.9</v>
      </c>
      <c r="EH18" s="13">
        <f>VLOOKUP(A18,'Données projet'!$A$191:$I$211,9,0)</f>
        <v>0.59333333333333338</v>
      </c>
      <c r="EI18" s="13">
        <f t="array" ref="EI18">INDEX(EH:EH,MIN(IF(ISNUMBER(EH18:EH214),ROW(EH18:EH214),"")))</f>
        <v>0.59333333333333338</v>
      </c>
      <c r="EJ18" s="13">
        <f>IF('Données projet'!$A$192&gt;35,EJ17+EI18-ER17,IF(A18&lt;'Données projet'!$A$192,$EG$205^A18,IF(A18='Données projet'!$A$192,'Données projet'!$B$192,EJ17+EI18-ER17)))</f>
        <v>8.9</v>
      </c>
      <c r="EK18" s="18">
        <f>EJ18*VLOOKUP('Données projet'!$B$15,Paramètres!$A$1:$I$89,3,0)*VLOOKUP('Données projet'!$B$15,Paramètres!$A$1:$I$89,5,0)</f>
        <v>7.0808400000000011</v>
      </c>
      <c r="EL18" s="14">
        <f t="shared" si="45"/>
        <v>2.5982861446166345</v>
      </c>
      <c r="EM18" s="22">
        <f t="shared" si="19"/>
        <v>16.857811368540641</v>
      </c>
      <c r="EN18" s="60">
        <f t="shared" si="20"/>
        <v>291.85781136854064</v>
      </c>
      <c r="EO18" s="60">
        <f ca="1">AVERAGE(OFFSET($EN$3,0,0,'Données projet'!$E$15+1,1))-AVERAGE(OFFSET($H$3,0,0,'Données projet'!$E$15+1,1))</f>
        <v>253.03289960511904</v>
      </c>
      <c r="EP18" s="60">
        <f t="shared" si="46"/>
        <v>236.85088713056018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8.9</v>
      </c>
      <c r="FC18" s="13">
        <f>VLOOKUP(A18,'Données projet'!$A$217:$I$237,9,0)</f>
        <v>0.59333333333333338</v>
      </c>
      <c r="FD18" s="13">
        <f t="array" ref="FD18">INDEX(FC:FC,MIN(IF(ISNUMBER(FC18:FC214),ROW(FC18:FC214),"")))</f>
        <v>0.59333333333333338</v>
      </c>
      <c r="FE18" s="13">
        <f>IF('Données projet'!$A$218&gt;35,FE17+FD18-FM17,IF(A18&lt;'Données projet'!$A$218,$FB$205^A18,IF(A18='Données projet'!$A$218,'Données projet'!$B$218,FE17+FD18-FM17)))</f>
        <v>8.9</v>
      </c>
      <c r="FF18" s="18">
        <f>FE18*VLOOKUP('Données projet'!$B$16,Paramètres!$A$1:$I$89,3,0)*VLOOKUP('Données projet'!$B$16,Paramètres!$A$1:$I$89,5,0)</f>
        <v>7.7750400000000015</v>
      </c>
      <c r="FG18" s="14">
        <f t="shared" si="47"/>
        <v>2.8221293181675109</v>
      </c>
      <c r="FH18" s="22">
        <f t="shared" si="22"/>
        <v>18.456736562475083</v>
      </c>
      <c r="FI18" s="60">
        <f t="shared" si="23"/>
        <v>293.4567365624751</v>
      </c>
      <c r="FJ18" s="60">
        <f ca="1">AVERAGE(OFFSET($FI$3,0,0,'Données projet'!$E$16+1,1))-AVERAGE(OFFSET($H$3,0,0,'Données projet'!$E$16+1,1))</f>
        <v>274.38315511766132</v>
      </c>
      <c r="FK18" s="60">
        <f t="shared" si="48"/>
        <v>255.96663040027175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0.16666666666666666</v>
      </c>
      <c r="FZ18" s="13">
        <f>IF('Données projet'!$A$244&gt;35,FZ17+FY18-GH17,IF(A18&lt;'Données projet'!$A$244,$FW$205^A18,IF(A18='Données projet'!$A$244,'Données projet'!$B$244,FZ17+FY18-GH17)))</f>
        <v>2.4980495329668129</v>
      </c>
      <c r="GA18" s="18">
        <f>FZ18*VLOOKUP('Données projet'!$B$17,Paramètres!$A$1:$I$89,3,0)*VLOOKUP('Données projet'!$B$17,Paramètres!$A$1:$I$89,5,0)</f>
        <v>2.1433264992855254</v>
      </c>
      <c r="GB18" s="14">
        <f t="shared" si="49"/>
        <v>0.90386114265571504</v>
      </c>
      <c r="GC18" s="22">
        <f t="shared" si="25"/>
        <v>5.3071851430476604</v>
      </c>
      <c r="GD18" s="60">
        <f t="shared" si="26"/>
        <v>280.30718514304766</v>
      </c>
      <c r="GE18" s="60">
        <f ca="1">AVERAGE(OFFSET($GD$3,0,0,'Données projet'!$E$17+1,1))-AVERAGE(OFFSET($H$3,0,0,'Données projet'!$E$17+1,1))</f>
        <v>445.81166342116865</v>
      </c>
      <c r="GF18" s="60">
        <f t="shared" si="50"/>
        <v>230.82970731138215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>
        <f>VLOOKUP(A18,'Données projet'!$A$269:$I$289,2,0)</f>
        <v>40</v>
      </c>
      <c r="GS18" s="13">
        <f>VLOOKUP(A18,'Données projet'!$A$269:$I$289,9,0)</f>
        <v>2.6666666666666665</v>
      </c>
      <c r="GT18" s="13">
        <f t="array" ref="GT18">INDEX(GS:GS,MIN(IF(ISNUMBER(GS18:GS214),ROW(GS18:GS214),"")))</f>
        <v>2.6666666666666665</v>
      </c>
      <c r="GU18" s="13">
        <f>IF('Données projet'!$A$270&gt;35,GU17+GT18-HC17,IF(A18&lt;'Données projet'!$A$270,$GR$205^A18,IF(A18='Données projet'!$A$270,'Données projet'!$B$270,GU17+GT18-HC17)))</f>
        <v>40</v>
      </c>
      <c r="GV18" s="18">
        <f>GU18*VLOOKUP('Données projet'!$B$18,Paramètres!$A$1:$I$89,3,0)*VLOOKUP('Données projet'!$B$18,Paramètres!$A$1:$I$89,5,0)</f>
        <v>31.200000000000003</v>
      </c>
      <c r="GW18" s="14">
        <f t="shared" si="51"/>
        <v>9.6335657126419925</v>
      </c>
      <c r="GX18" s="22">
        <f t="shared" si="28"/>
        <v>71.118460282851473</v>
      </c>
      <c r="GY18" s="60">
        <f t="shared" si="29"/>
        <v>346.11846028285146</v>
      </c>
      <c r="GZ18" s="60">
        <f ca="1">AVERAGE(OFFSET($GY$3,0,0,'Données projet'!$E$18+1,1))-AVERAGE(OFFSET($H$3,0,0,'Données projet'!$E$18+1,1))</f>
        <v>289.19475369871481</v>
      </c>
      <c r="HA18" s="60">
        <f t="shared" si="52"/>
        <v>283.48738729114024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projet'!$B$18,Paramètres!$A$1:$I$89,3,0)*0.475*44/12</f>
        <v>0</v>
      </c>
      <c r="HH18" s="23">
        <f>EXP(-LN(2)/25)*HH17+(1-EXP(-LN(2)/25))/(LN(2)/25)*Calculateur!HC18*Calculateur!HE18*VLOOKUP('Données projet'!$B$18,Paramètres!$A$1:$I$89,3,0)*0.475*44/12</f>
        <v>0</v>
      </c>
      <c r="HI18" s="23">
        <f>EXP(-LN(2)/2)*HI17+(1-EXP(-LN(2)/2))/(LN(2)/2)*HC18*HF18*VLOOKUP('Données projet'!$B$18,Paramètres!$A$1:$I$89,3,0)*0.475*44/12</f>
        <v>0</v>
      </c>
      <c r="HJ18" s="24">
        <f t="shared" si="30"/>
        <v>0</v>
      </c>
    </row>
    <row r="19" spans="1:218" s="5" customFormat="1" x14ac:dyDescent="0.3">
      <c r="A19" s="11">
        <f t="shared" si="31"/>
        <v>16</v>
      </c>
      <c r="B19" s="75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8">
        <f t="shared" si="1"/>
        <v>256.66666666666669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19.236042156311996</v>
      </c>
      <c r="P19" s="14">
        <f t="shared" si="33"/>
        <v>6.2834290449348904</v>
      </c>
      <c r="Q19" s="22">
        <f t="shared" si="2"/>
        <v>44.446412342171662</v>
      </c>
      <c r="R19" s="60">
        <f t="shared" si="0"/>
        <v>320.66863456439387</v>
      </c>
      <c r="S19" s="60">
        <f ca="1">AVERAGE(OFFSET($R$3,0,0,'Données projet'!$E$9+1,1))-AVERAGE(OFFSET($H$3,0,0,'Données projet'!$E$9+1,1))</f>
        <v>456.86147223520601</v>
      </c>
      <c r="T19" s="60">
        <f t="shared" si="34"/>
        <v>244.45149244446094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2.44</v>
      </c>
      <c r="AI19" s="14">
        <f>IF('Données projet'!$A$62&gt;35,AI18+AH19-AQ18,IF(A19&lt;'Données projet'!$A$62,$AF$205^A19,IF(A19='Données projet'!$A$62,'Données projet'!$B$62,AI18+AH19-AQ18)))</f>
        <v>13.887085021385765</v>
      </c>
      <c r="AJ19" s="14">
        <f>AI19*VLOOKUP('Données projet'!$B$10,Paramètres!$A$1:$I$89,3,0)*VLOOKUP('Données projet'!$B$10,Paramètres!$A$1:$I$89,5,0)</f>
        <v>9.0988181060119526</v>
      </c>
      <c r="AK19" s="14">
        <f t="shared" si="35"/>
        <v>3.2427330355638273</v>
      </c>
      <c r="AL19" s="22">
        <f t="shared" si="4"/>
        <v>21.494868238244479</v>
      </c>
      <c r="AM19" s="60">
        <f t="shared" si="5"/>
        <v>297.71709046046669</v>
      </c>
      <c r="AN19" s="60">
        <f ca="1">AVERAGE(OFFSET($AM$3,0,0,'Données projet'!$E$10+1,1))-AVERAGE(OFFSET($H$3,0,0,'Données projet'!$E$10+1,1))</f>
        <v>170.79567854714986</v>
      </c>
      <c r="AO19" s="60">
        <f t="shared" si="36"/>
        <v>155.92788004111191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10</v>
      </c>
      <c r="BD19" s="13">
        <f>IF('Données projet'!$A$88&gt;35,BD18+BC19-BL18,IF(A19&lt;'Données projet'!$A$88,$BA$205^A19,IF(A19='Données projet'!$A$88,'Données projet'!$B$88,BD18+BC19-BL18)))</f>
        <v>59</v>
      </c>
      <c r="BE19" s="14">
        <f>BD19*VLOOKUP('Données projet'!$B$11,Paramètres!$A$1:$I$89,3,0)*VLOOKUP('Données projet'!$B$11,Paramètres!$A$1:$I$89,5,0)</f>
        <v>47.860800000000005</v>
      </c>
      <c r="BF19" s="14">
        <f t="shared" si="37"/>
        <v>14.059903887836867</v>
      </c>
      <c r="BG19" s="22">
        <f t="shared" si="7"/>
        <v>107.84522593798255</v>
      </c>
      <c r="BH19" s="60">
        <f t="shared" si="8"/>
        <v>384.06744816020478</v>
      </c>
      <c r="BI19" s="60">
        <f ca="1">AVERAGE(OFFSET($BH$3,0,0,'Données projet'!$E$11+1,1))-AVERAGE(OFFSET($H$3,0,0,'Données projet'!$E$11+1,1))</f>
        <v>256.19915261735281</v>
      </c>
      <c r="BJ19" s="60">
        <f t="shared" si="38"/>
        <v>297.47246687305056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5.8974358974358978</v>
      </c>
      <c r="BY19" s="13">
        <f>IF('Données projet'!$A$114&gt;35,BY18+BX19-CG18,IF(A19&lt;'Données projet'!$A$114,$BV$205^A19,IF(A19='Données projet'!$A$114,'Données projet'!$B$114,BY18+BX19-CG18)))</f>
        <v>39.871794871794869</v>
      </c>
      <c r="BZ19" s="14">
        <f>BY19*VLOOKUP('Données projet'!$B$12,Paramètres!$A$1:$I$89,3,0)*VLOOKUP('Données projet'!$B$12,Paramètres!$A$1:$I$89,5,0)</f>
        <v>37.941999999999993</v>
      </c>
      <c r="CA19" s="14">
        <f t="shared" si="39"/>
        <v>11.45150826835841</v>
      </c>
      <c r="CB19" s="22">
        <f t="shared" si="10"/>
        <v>86.027026900724209</v>
      </c>
      <c r="CC19" s="60">
        <f t="shared" si="11"/>
        <v>362.24924912294642</v>
      </c>
      <c r="CD19" s="60">
        <f ca="1">AVERAGE(OFFSET($CC$3,0,0,'Données projet'!$E$12+1,1))-AVERAGE(OFFSET($H$3,0,0,'Données projet'!$E$12+1,1))</f>
        <v>353.53401919391234</v>
      </c>
      <c r="CE19" s="60">
        <f t="shared" si="40"/>
        <v>244.7141066773861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2.1</v>
      </c>
      <c r="CT19" s="13">
        <f>IF('Données projet'!$A$140&gt;35,CT18+CS19-DB18,IF(A19&lt;'Données projet'!$A$140,$CQ$205^A19,IF(A19='Données projet'!$A$140,'Données projet'!$B$140,CT18+CS19-DB18)))</f>
        <v>19.888381054913147</v>
      </c>
      <c r="CU19" s="18">
        <f>CT19*VLOOKUP('Données projet'!$B$13,Paramètres!$A$1:$I$89,3,0)*VLOOKUP('Données projet'!$B$13,Paramètres!$A$1:$I$89,5,0)</f>
        <v>16.753972200658836</v>
      </c>
      <c r="CV19" s="14">
        <f t="shared" si="41"/>
        <v>5.5613796648680189</v>
      </c>
      <c r="CW19" s="22">
        <f t="shared" si="13"/>
        <v>38.865904499125939</v>
      </c>
      <c r="CX19" s="60">
        <f t="shared" si="14"/>
        <v>315.08812672134815</v>
      </c>
      <c r="CY19" s="60">
        <f ca="1">AVERAGE(OFFSET($CX$3,0,0,'Données projet'!$E$13+1,1))-AVERAGE(OFFSET($H$3,0,0,'Données projet'!$E$13+1,1))</f>
        <v>403.33327536410098</v>
      </c>
      <c r="CZ19" s="60">
        <f t="shared" si="42"/>
        <v>218.26721063098552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11.54</v>
      </c>
      <c r="DO19" s="13">
        <f>IF('Données projet'!$A$166&gt;35,DO18+DN19-DW18,IF(A19&lt;'Données projet'!$A$166,$DL$205^A19,IF(A19='Données projet'!$A$166,'Données projet'!$B$166,DO18+DN19-DW18)))</f>
        <v>48.94</v>
      </c>
      <c r="DP19" s="18">
        <f>DO19*VLOOKUP('Données projet'!$B$14,Paramètres!$A$1:$I$89,3,0)*VLOOKUP('Données projet'!$B$14,Paramètres!$A$1:$I$89,5,0)</f>
        <v>38.936664</v>
      </c>
      <c r="DQ19" s="14">
        <f t="shared" si="43"/>
        <v>11.71636916173216</v>
      </c>
      <c r="DR19" s="22">
        <f t="shared" si="16"/>
        <v>88.220699423350183</v>
      </c>
      <c r="DS19" s="60">
        <f t="shared" si="17"/>
        <v>364.44292164557243</v>
      </c>
      <c r="DT19" s="60">
        <f ca="1">AVERAGE(OFFSET($DS$3,0,0,'Données projet'!$E$14+1,1))-AVERAGE(OFFSET($H$3,0,0,'Données projet'!$E$14+1,1))</f>
        <v>317.13087551964747</v>
      </c>
      <c r="DU19" s="60">
        <f t="shared" si="44"/>
        <v>293.43300041793185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9.56</v>
      </c>
      <c r="EJ19" s="13">
        <f>IF('Données projet'!$A$192&gt;35,EJ18+EI19-ER18,IF(A19&lt;'Données projet'!$A$192,$EG$205^A19,IF(A19='Données projet'!$A$192,'Données projet'!$B$192,EJ18+EI19-ER18)))</f>
        <v>18.46</v>
      </c>
      <c r="EK19" s="18">
        <f>EJ19*VLOOKUP('Données projet'!$B$15,Paramètres!$A$1:$I$89,3,0)*VLOOKUP('Données projet'!$B$15,Paramètres!$A$1:$I$89,5,0)</f>
        <v>14.686776</v>
      </c>
      <c r="EL19" s="14">
        <f t="shared" si="45"/>
        <v>4.9504912219432047</v>
      </c>
      <c r="EM19" s="22">
        <f t="shared" si="19"/>
        <v>34.201573744884413</v>
      </c>
      <c r="EN19" s="60">
        <f t="shared" si="20"/>
        <v>310.42379596710663</v>
      </c>
      <c r="EO19" s="60">
        <f ca="1">AVERAGE(OFFSET($EN$3,0,0,'Données projet'!$E$15+1,1))-AVERAGE(OFFSET($H$3,0,0,'Données projet'!$E$15+1,1))</f>
        <v>253.03289960511904</v>
      </c>
      <c r="EP19" s="60">
        <f t="shared" si="46"/>
        <v>236.85088713056018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9.56</v>
      </c>
      <c r="FE19" s="13">
        <f>IF('Données projet'!$A$218&gt;35,FE18+FD19-FM18,IF(A19&lt;'Données projet'!$A$218,$FB$205^A19,IF(A19='Données projet'!$A$218,'Données projet'!$B$218,FE18+FD19-FM18)))</f>
        <v>18.46</v>
      </c>
      <c r="FF19" s="18">
        <f>FE19*VLOOKUP('Données projet'!$B$16,Paramètres!$A$1:$I$89,3,0)*VLOOKUP('Données projet'!$B$16,Paramètres!$A$1:$I$89,5,0)</f>
        <v>16.126656000000004</v>
      </c>
      <c r="FG19" s="14">
        <f t="shared" si="47"/>
        <v>5.3769776072289268</v>
      </c>
      <c r="FH19" s="22">
        <f t="shared" si="22"/>
        <v>37.452161865923721</v>
      </c>
      <c r="FI19" s="60">
        <f t="shared" si="23"/>
        <v>313.67438408814593</v>
      </c>
      <c r="FJ19" s="60">
        <f ca="1">AVERAGE(OFFSET($FI$3,0,0,'Données projet'!$E$16+1,1))-AVERAGE(OFFSET($H$3,0,0,'Données projet'!$E$16+1,1))</f>
        <v>274.38315511766132</v>
      </c>
      <c r="FK19" s="60">
        <f t="shared" si="48"/>
        <v>255.96663040027175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0.16666666666666666</v>
      </c>
      <c r="FZ19" s="13">
        <f>IF('Données projet'!$A$244&gt;35,FZ18+FY19-GH18,IF(A19&lt;'Données projet'!$A$244,$FW$205^A19,IF(A19='Données projet'!$A$244,'Données projet'!$B$244,FZ18+FY19-GH18)))</f>
        <v>2.6552644562143808</v>
      </c>
      <c r="GA19" s="18">
        <f>FZ19*VLOOKUP('Données projet'!$B$17,Paramètres!$A$1:$I$89,3,0)*VLOOKUP('Données projet'!$B$17,Paramètres!$A$1:$I$89,5,0)</f>
        <v>2.2782169034319391</v>
      </c>
      <c r="GB19" s="14">
        <f t="shared" si="49"/>
        <v>0.95394441247757078</v>
      </c>
      <c r="GC19" s="22">
        <f t="shared" si="25"/>
        <v>5.6293476252090633</v>
      </c>
      <c r="GD19" s="60">
        <f t="shared" si="26"/>
        <v>281.85156984743128</v>
      </c>
      <c r="GE19" s="60">
        <f ca="1">AVERAGE(OFFSET($GD$3,0,0,'Données projet'!$E$17+1,1))-AVERAGE(OFFSET($H$3,0,0,'Données projet'!$E$17+1,1))</f>
        <v>445.81166342116865</v>
      </c>
      <c r="GF19" s="60">
        <f t="shared" si="50"/>
        <v>230.82970731138215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9.6</v>
      </c>
      <c r="GU19" s="13">
        <f>IF('Données projet'!$A$270&gt;35,GU18+GT19-HC18,IF(A19&lt;'Données projet'!$A$270,$GR$205^A19,IF(A19='Données projet'!$A$270,'Données projet'!$B$270,GU18+GT19-HC18)))</f>
        <v>49.6</v>
      </c>
      <c r="GV19" s="18">
        <f>GU19*VLOOKUP('Données projet'!$B$18,Paramètres!$A$1:$I$89,3,0)*VLOOKUP('Données projet'!$B$18,Paramètres!$A$1:$I$89,5,0)</f>
        <v>38.688000000000002</v>
      </c>
      <c r="GW19" s="14">
        <f t="shared" si="51"/>
        <v>11.650229083154354</v>
      </c>
      <c r="GX19" s="22">
        <f t="shared" si="28"/>
        <v>87.672415653160499</v>
      </c>
      <c r="GY19" s="60">
        <f t="shared" si="29"/>
        <v>363.89463787538273</v>
      </c>
      <c r="GZ19" s="60">
        <f ca="1">AVERAGE(OFFSET($GY$3,0,0,'Données projet'!$E$18+1,1))-AVERAGE(OFFSET($H$3,0,0,'Données projet'!$E$18+1,1))</f>
        <v>289.19475369871481</v>
      </c>
      <c r="HA19" s="60">
        <f t="shared" si="52"/>
        <v>283.48738729114024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projet'!$B$18,Paramètres!$A$1:$I$89,3,0)*0.475*44/12</f>
        <v>0</v>
      </c>
      <c r="HH19" s="23">
        <f>EXP(-LN(2)/25)*HH18+(1-EXP(-LN(2)/25))/(LN(2)/25)*Calculateur!HC19*Calculateur!HE19*VLOOKUP('Données projet'!$B$18,Paramètres!$A$1:$I$89,3,0)*0.475*44/12</f>
        <v>0</v>
      </c>
      <c r="HI19" s="23">
        <f>EXP(-LN(2)/2)*HI18+(1-EXP(-LN(2)/2))/(LN(2)/2)*HC19*HF19*VLOOKUP('Données projet'!$B$18,Paramètres!$A$1:$I$89,3,0)*0.475*44/12</f>
        <v>0</v>
      </c>
      <c r="HJ19" s="24">
        <f t="shared" si="30"/>
        <v>0</v>
      </c>
    </row>
    <row r="20" spans="1:218" s="5" customFormat="1" x14ac:dyDescent="0.3">
      <c r="A20" s="11">
        <f t="shared" si="31"/>
        <v>17</v>
      </c>
      <c r="B20" s="75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8">
        <f t="shared" si="1"/>
        <v>256.66666666666669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23.188795185384055</v>
      </c>
      <c r="P20" s="14">
        <f t="shared" si="33"/>
        <v>7.4115982288884323</v>
      </c>
      <c r="Q20" s="22">
        <f t="shared" si="2"/>
        <v>53.29568519652458</v>
      </c>
      <c r="R20" s="60">
        <f t="shared" si="0"/>
        <v>330.74012964096903</v>
      </c>
      <c r="S20" s="60">
        <f ca="1">AVERAGE(OFFSET($R$3,0,0,'Données projet'!$E$9+1,1))-AVERAGE(OFFSET($H$3,0,0,'Données projet'!$E$9+1,1))</f>
        <v>456.86147223520601</v>
      </c>
      <c r="T20" s="60">
        <f t="shared" si="34"/>
        <v>244.45149244446094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2.44</v>
      </c>
      <c r="AI20" s="14">
        <f>IF('Données projet'!$A$62&gt;35,AI19+AH20-AQ19,IF(A20&lt;'Données projet'!$A$62,$AF$205^A20,IF(A20='Données projet'!$A$62,'Données projet'!$B$62,AI19+AH20-AQ19)))</f>
        <v>16.369080625309213</v>
      </c>
      <c r="AJ20" s="14">
        <f>AI20*VLOOKUP('Données projet'!$B$10,Paramètres!$A$1:$I$89,3,0)*VLOOKUP('Données projet'!$B$10,Paramètres!$A$1:$I$89,5,0)</f>
        <v>10.725021625702595</v>
      </c>
      <c r="AK20" s="14">
        <f t="shared" si="35"/>
        <v>3.749832714735883</v>
      </c>
      <c r="AL20" s="22">
        <f t="shared" si="4"/>
        <v>25.210371309597019</v>
      </c>
      <c r="AM20" s="60">
        <f t="shared" si="5"/>
        <v>302.65481575404146</v>
      </c>
      <c r="AN20" s="60">
        <f ca="1">AVERAGE(OFFSET($AM$3,0,0,'Données projet'!$E$10+1,1))-AVERAGE(OFFSET($H$3,0,0,'Données projet'!$E$10+1,1))</f>
        <v>170.79567854714986</v>
      </c>
      <c r="AO20" s="60">
        <f t="shared" si="36"/>
        <v>155.92788004111191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10</v>
      </c>
      <c r="BD20" s="13">
        <f>IF('Données projet'!$A$88&gt;35,BD19+BC20-BL19,IF(A20&lt;'Données projet'!$A$88,$BA$205^A20,IF(A20='Données projet'!$A$88,'Données projet'!$B$88,BD19+BC20-BL19)))</f>
        <v>69</v>
      </c>
      <c r="BE20" s="14">
        <f>BD20*VLOOKUP('Données projet'!$B$11,Paramètres!$A$1:$I$89,3,0)*VLOOKUP('Données projet'!$B$11,Paramètres!$A$1:$I$89,5,0)</f>
        <v>55.972800000000007</v>
      </c>
      <c r="BF20" s="14">
        <f t="shared" si="37"/>
        <v>16.145985978099571</v>
      </c>
      <c r="BG20" s="22">
        <f t="shared" si="7"/>
        <v>125.60688557852342</v>
      </c>
      <c r="BH20" s="60">
        <f t="shared" si="8"/>
        <v>403.05133002296787</v>
      </c>
      <c r="BI20" s="60">
        <f ca="1">AVERAGE(OFFSET($BH$3,0,0,'Données projet'!$E$11+1,1))-AVERAGE(OFFSET($H$3,0,0,'Données projet'!$E$11+1,1))</f>
        <v>256.19915261735281</v>
      </c>
      <c r="BJ20" s="60">
        <f t="shared" si="38"/>
        <v>297.47246687305056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5.8974358974358978</v>
      </c>
      <c r="BY20" s="13">
        <f>IF('Données projet'!$A$114&gt;35,BY19+BX20-CG19,IF(A20&lt;'Données projet'!$A$114,$BV$205^A20,IF(A20='Données projet'!$A$114,'Données projet'!$B$114,BY19+BX20-CG19)))</f>
        <v>45.769230769230766</v>
      </c>
      <c r="BZ20" s="14">
        <f>BY20*VLOOKUP('Données projet'!$B$12,Paramètres!$A$1:$I$89,3,0)*VLOOKUP('Données projet'!$B$12,Paramètres!$A$1:$I$89,5,0)</f>
        <v>43.554000000000002</v>
      </c>
      <c r="CA20" s="14">
        <f t="shared" si="39"/>
        <v>12.935917793577156</v>
      </c>
      <c r="CB20" s="22">
        <f t="shared" si="10"/>
        <v>98.386606823813551</v>
      </c>
      <c r="CC20" s="60">
        <f t="shared" si="11"/>
        <v>375.83105126825802</v>
      </c>
      <c r="CD20" s="60">
        <f ca="1">AVERAGE(OFFSET($CC$3,0,0,'Données projet'!$E$12+1,1))-AVERAGE(OFFSET($H$3,0,0,'Données projet'!$E$12+1,1))</f>
        <v>353.53401919391234</v>
      </c>
      <c r="CE20" s="60">
        <f t="shared" si="40"/>
        <v>244.7141066773861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2.1</v>
      </c>
      <c r="CT20" s="13">
        <f>IF('Données projet'!$A$140&gt;35,CT19+CS20-DB19,IF(A20&lt;'Données projet'!$A$140,$CQ$205^A20,IF(A20='Données projet'!$A$140,'Données projet'!$B$140,CT19+CS20-DB19)))</f>
        <v>23.975181126327602</v>
      </c>
      <c r="CU20" s="18">
        <f>CT20*VLOOKUP('Données projet'!$B$13,Paramètres!$A$1:$I$89,3,0)*VLOOKUP('Données projet'!$B$13,Paramètres!$A$1:$I$89,5,0)</f>
        <v>20.196692580818372</v>
      </c>
      <c r="CV20" s="14">
        <f t="shared" si="41"/>
        <v>6.5599072384749233</v>
      </c>
      <c r="CW20" s="22">
        <f t="shared" si="13"/>
        <v>46.601078018602493</v>
      </c>
      <c r="CX20" s="60">
        <f t="shared" si="14"/>
        <v>324.04552246304695</v>
      </c>
      <c r="CY20" s="60">
        <f ca="1">AVERAGE(OFFSET($CX$3,0,0,'Données projet'!$E$13+1,1))-AVERAGE(OFFSET($H$3,0,0,'Données projet'!$E$13+1,1))</f>
        <v>403.33327536410098</v>
      </c>
      <c r="CZ20" s="60">
        <f t="shared" si="42"/>
        <v>218.26721063098552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11.54</v>
      </c>
      <c r="DO20" s="13">
        <f>IF('Données projet'!$A$166&gt;35,DO19+DN20-DW19,IF(A20&lt;'Données projet'!$A$166,$DL$205^A20,IF(A20='Données projet'!$A$166,'Données projet'!$B$166,DO19+DN20-DW19)))</f>
        <v>60.48</v>
      </c>
      <c r="DP20" s="18">
        <f>DO20*VLOOKUP('Données projet'!$B$14,Paramètres!$A$1:$I$89,3,0)*VLOOKUP('Données projet'!$B$14,Paramètres!$A$1:$I$89,5,0)</f>
        <v>48.117888000000001</v>
      </c>
      <c r="DQ20" s="14">
        <f t="shared" si="43"/>
        <v>14.126615953608919</v>
      </c>
      <c r="DR20" s="22">
        <f t="shared" si="16"/>
        <v>108.40917771920219</v>
      </c>
      <c r="DS20" s="60">
        <f t="shared" si="17"/>
        <v>385.85362216364666</v>
      </c>
      <c r="DT20" s="60">
        <f ca="1">AVERAGE(OFFSET($DS$3,0,0,'Données projet'!$E$14+1,1))-AVERAGE(OFFSET($H$3,0,0,'Données projet'!$E$14+1,1))</f>
        <v>317.13087551964747</v>
      </c>
      <c r="DU20" s="60">
        <f t="shared" si="44"/>
        <v>293.43300041793185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9.56</v>
      </c>
      <c r="EJ20" s="13">
        <f>IF('Données projet'!$A$192&gt;35,EJ19+EI20-ER19,IF(A20&lt;'Données projet'!$A$192,$EG$205^A20,IF(A20='Données projet'!$A$192,'Données projet'!$B$192,EJ19+EI20-ER19)))</f>
        <v>28.020000000000003</v>
      </c>
      <c r="EK20" s="18">
        <f>EJ20*VLOOKUP('Données projet'!$B$15,Paramètres!$A$1:$I$89,3,0)*VLOOKUP('Données projet'!$B$15,Paramètres!$A$1:$I$89,5,0)</f>
        <v>22.292712000000005</v>
      </c>
      <c r="EL20" s="14">
        <f t="shared" si="45"/>
        <v>7.1579524338592915</v>
      </c>
      <c r="EM20" s="22">
        <f t="shared" si="19"/>
        <v>51.29324055563827</v>
      </c>
      <c r="EN20" s="60">
        <f t="shared" si="20"/>
        <v>328.73768500008271</v>
      </c>
      <c r="EO20" s="60">
        <f ca="1">AVERAGE(OFFSET($EN$3,0,0,'Données projet'!$E$15+1,1))-AVERAGE(OFFSET($H$3,0,0,'Données projet'!$E$15+1,1))</f>
        <v>253.03289960511904</v>
      </c>
      <c r="EP20" s="60">
        <f t="shared" si="46"/>
        <v>236.85088713056018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9.56</v>
      </c>
      <c r="FE20" s="13">
        <f>IF('Données projet'!$A$218&gt;35,FE19+FD20-FM19,IF(A20&lt;'Données projet'!$A$218,$FB$205^A20,IF(A20='Données projet'!$A$218,'Données projet'!$B$218,FE19+FD20-FM19)))</f>
        <v>28.020000000000003</v>
      </c>
      <c r="FF20" s="18">
        <f>FE20*VLOOKUP('Données projet'!$B$16,Paramètres!$A$1:$I$89,3,0)*VLOOKUP('Données projet'!$B$16,Paramètres!$A$1:$I$89,5,0)</f>
        <v>24.478272000000008</v>
      </c>
      <c r="FG20" s="14">
        <f t="shared" si="47"/>
        <v>7.7746123010725245</v>
      </c>
      <c r="FH20" s="22">
        <f t="shared" si="22"/>
        <v>56.173773491034659</v>
      </c>
      <c r="FI20" s="60">
        <f t="shared" si="23"/>
        <v>333.61821793547909</v>
      </c>
      <c r="FJ20" s="60">
        <f ca="1">AVERAGE(OFFSET($FI$3,0,0,'Données projet'!$E$16+1,1))-AVERAGE(OFFSET($H$3,0,0,'Données projet'!$E$16+1,1))</f>
        <v>274.38315511766132</v>
      </c>
      <c r="FK20" s="60">
        <f t="shared" si="48"/>
        <v>255.96663040027175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0.16666666666666666</v>
      </c>
      <c r="FZ20" s="13">
        <f>IF('Données projet'!$A$244&gt;35,FZ19+FY20-GH19,IF(A20&lt;'Données projet'!$A$244,$FW$205^A20,IF(A20='Données projet'!$A$244,'Données projet'!$B$244,FZ19+FY20-GH19)))</f>
        <v>2.8223737117262027</v>
      </c>
      <c r="GA20" s="18">
        <f>FZ20*VLOOKUP('Données projet'!$B$17,Paramètres!$A$1:$I$89,3,0)*VLOOKUP('Données projet'!$B$17,Paramètres!$A$1:$I$89,5,0)</f>
        <v>2.4215966446610819</v>
      </c>
      <c r="GB20" s="14">
        <f t="shared" si="49"/>
        <v>1.0068028142280749</v>
      </c>
      <c r="GC20" s="22">
        <f t="shared" si="25"/>
        <v>5.9711290575652809</v>
      </c>
      <c r="GD20" s="60">
        <f t="shared" si="26"/>
        <v>283.41557350200975</v>
      </c>
      <c r="GE20" s="60">
        <f ca="1">AVERAGE(OFFSET($GD$3,0,0,'Données projet'!$E$17+1,1))-AVERAGE(OFFSET($H$3,0,0,'Données projet'!$E$17+1,1))</f>
        <v>445.81166342116865</v>
      </c>
      <c r="GF20" s="60">
        <f t="shared" si="50"/>
        <v>230.82970731138215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9.6</v>
      </c>
      <c r="GU20" s="13">
        <f>IF('Données projet'!$A$270&gt;35,GU19+GT20-HC19,IF(A20&lt;'Données projet'!$A$270,$GR$205^A20,IF(A20='Données projet'!$A$270,'Données projet'!$B$270,GU19+GT20-HC19)))</f>
        <v>59.2</v>
      </c>
      <c r="GV20" s="18">
        <f>GU20*VLOOKUP('Données projet'!$B$18,Paramètres!$A$1:$I$89,3,0)*VLOOKUP('Données projet'!$B$18,Paramètres!$A$1:$I$89,5,0)</f>
        <v>46.176000000000002</v>
      </c>
      <c r="GW20" s="14">
        <f t="shared" si="51"/>
        <v>13.621668778540489</v>
      </c>
      <c r="GX20" s="22">
        <f t="shared" si="28"/>
        <v>104.14760645595801</v>
      </c>
      <c r="GY20" s="60">
        <f t="shared" si="29"/>
        <v>381.59205090040246</v>
      </c>
      <c r="GZ20" s="60">
        <f ca="1">AVERAGE(OFFSET($GY$3,0,0,'Données projet'!$E$18+1,1))-AVERAGE(OFFSET($H$3,0,0,'Données projet'!$E$18+1,1))</f>
        <v>289.19475369871481</v>
      </c>
      <c r="HA20" s="60">
        <f t="shared" si="52"/>
        <v>283.48738729114024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projet'!$B$18,Paramètres!$A$1:$I$89,3,0)*0.475*44/12</f>
        <v>0</v>
      </c>
      <c r="HH20" s="23">
        <f>EXP(-LN(2)/25)*HH19+(1-EXP(-LN(2)/25))/(LN(2)/25)*Calculateur!HC20*Calculateur!HE20*VLOOKUP('Données projet'!$B$18,Paramètres!$A$1:$I$89,3,0)*0.475*44/12</f>
        <v>0</v>
      </c>
      <c r="HI20" s="23">
        <f>EXP(-LN(2)/2)*HI19+(1-EXP(-LN(2)/2))/(LN(2)/2)*HC20*HF20*VLOOKUP('Données projet'!$B$18,Paramètres!$A$1:$I$89,3,0)*0.475*44/12</f>
        <v>0</v>
      </c>
      <c r="HJ20" s="24">
        <f t="shared" si="30"/>
        <v>0</v>
      </c>
    </row>
    <row r="21" spans="1:218" s="5" customFormat="1" x14ac:dyDescent="0.3">
      <c r="A21" s="11">
        <f t="shared" si="31"/>
        <v>18</v>
      </c>
      <c r="B21" s="75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8">
        <f t="shared" si="1"/>
        <v>256.66666666666669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27.953786843477392</v>
      </c>
      <c r="P21" s="14">
        <f t="shared" si="33"/>
        <v>8.7423265089215931</v>
      </c>
      <c r="Q21" s="22">
        <f t="shared" si="2"/>
        <v>63.912397422094891</v>
      </c>
      <c r="R21" s="60">
        <f t="shared" si="0"/>
        <v>342.57906408876158</v>
      </c>
      <c r="S21" s="60">
        <f ca="1">AVERAGE(OFFSET($R$3,0,0,'Données projet'!$E$9+1,1))-AVERAGE(OFFSET($H$3,0,0,'Données projet'!$E$9+1,1))</f>
        <v>456.86147223520601</v>
      </c>
      <c r="T21" s="60">
        <f t="shared" si="34"/>
        <v>244.45149244446094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2.44</v>
      </c>
      <c r="AI21" s="14">
        <f>IF('Données projet'!$A$62&gt;35,AI20+AH21-AQ20,IF(A21&lt;'Données projet'!$A$62,$AF$205^A21,IF(A21='Données projet'!$A$62,'Données projet'!$B$62,AI20+AH21-AQ20)))</f>
        <v>19.294675600044364</v>
      </c>
      <c r="AJ21" s="14">
        <f>AI21*VLOOKUP('Données projet'!$B$10,Paramètres!$A$1:$I$89,3,0)*VLOOKUP('Données projet'!$B$10,Paramètres!$A$1:$I$89,5,0)</f>
        <v>12.641871453149069</v>
      </c>
      <c r="AK21" s="14">
        <f t="shared" si="35"/>
        <v>4.3362328117333284</v>
      </c>
      <c r="AL21" s="22">
        <f t="shared" si="4"/>
        <v>29.570198261336841</v>
      </c>
      <c r="AM21" s="60">
        <f t="shared" si="5"/>
        <v>308.23686492800351</v>
      </c>
      <c r="AN21" s="60">
        <f ca="1">AVERAGE(OFFSET($AM$3,0,0,'Données projet'!$E$10+1,1))-AVERAGE(OFFSET($H$3,0,0,'Données projet'!$E$10+1,1))</f>
        <v>170.79567854714986</v>
      </c>
      <c r="AO21" s="60">
        <f t="shared" si="36"/>
        <v>155.92788004111191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10</v>
      </c>
      <c r="BD21" s="13">
        <f>IF('Données projet'!$A$88&gt;35,BD20+BC21-BL20,IF(A21&lt;'Données projet'!$A$88,$BA$205^A21,IF(A21='Données projet'!$A$88,'Données projet'!$B$88,BD20+BC21-BL20)))</f>
        <v>79</v>
      </c>
      <c r="BE21" s="14">
        <f>BD21*VLOOKUP('Données projet'!$B$11,Paramètres!$A$1:$I$89,3,0)*VLOOKUP('Données projet'!$B$11,Paramètres!$A$1:$I$89,5,0)</f>
        <v>64.084800000000001</v>
      </c>
      <c r="BF21" s="14">
        <f t="shared" si="37"/>
        <v>18.197042620605469</v>
      </c>
      <c r="BG21" s="22">
        <f t="shared" si="7"/>
        <v>143.30754256422119</v>
      </c>
      <c r="BH21" s="60">
        <f t="shared" si="8"/>
        <v>421.97420923088788</v>
      </c>
      <c r="BI21" s="60">
        <f ca="1">AVERAGE(OFFSET($BH$3,0,0,'Données projet'!$E$11+1,1))-AVERAGE(OFFSET($H$3,0,0,'Données projet'!$E$11+1,1))</f>
        <v>256.19915261735281</v>
      </c>
      <c r="BJ21" s="60">
        <f t="shared" si="38"/>
        <v>297.47246687305056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5.8974358974358978</v>
      </c>
      <c r="BY21" s="13">
        <f>IF('Données projet'!$A$114&gt;35,BY20+BX21-CG20,IF(A21&lt;'Données projet'!$A$114,$BV$205^A21,IF(A21='Données projet'!$A$114,'Données projet'!$B$114,BY20+BX21-CG20)))</f>
        <v>51.666666666666664</v>
      </c>
      <c r="BZ21" s="14">
        <f>BY21*VLOOKUP('Données projet'!$B$12,Paramètres!$A$1:$I$89,3,0)*VLOOKUP('Données projet'!$B$12,Paramètres!$A$1:$I$89,5,0)</f>
        <v>49.165999999999997</v>
      </c>
      <c r="CA21" s="14">
        <f t="shared" si="39"/>
        <v>14.398165127385489</v>
      </c>
      <c r="CB21" s="22">
        <f t="shared" si="10"/>
        <v>110.70758759686305</v>
      </c>
      <c r="CC21" s="60">
        <f t="shared" si="11"/>
        <v>389.37425426352974</v>
      </c>
      <c r="CD21" s="60">
        <f ca="1">AVERAGE(OFFSET($CC$3,0,0,'Données projet'!$E$12+1,1))-AVERAGE(OFFSET($H$3,0,0,'Données projet'!$E$12+1,1))</f>
        <v>353.53401919391234</v>
      </c>
      <c r="CE21" s="60">
        <f t="shared" si="40"/>
        <v>244.7141066773861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2.1</v>
      </c>
      <c r="CT21" s="13">
        <f>IF('Données projet'!$A$140&gt;35,CT20+CS21-DB20,IF(A21&lt;'Données projet'!$A$140,$CQ$205^A21,IF(A21='Données projet'!$A$140,'Données projet'!$B$140,CT20+CS21-DB20)))</f>
        <v>28.901764726506816</v>
      </c>
      <c r="CU21" s="18">
        <f>CT21*VLOOKUP('Données projet'!$B$13,Paramètres!$A$1:$I$89,3,0)*VLOOKUP('Données projet'!$B$13,Paramètres!$A$1:$I$89,5,0)</f>
        <v>24.346846605609343</v>
      </c>
      <c r="CV21" s="14">
        <f t="shared" si="41"/>
        <v>7.7377171800078735</v>
      </c>
      <c r="CW21" s="22">
        <f t="shared" si="13"/>
        <v>55.880615259949991</v>
      </c>
      <c r="CX21" s="60">
        <f t="shared" si="14"/>
        <v>334.54728192661668</v>
      </c>
      <c r="CY21" s="60">
        <f ca="1">AVERAGE(OFFSET($CX$3,0,0,'Données projet'!$E$13+1,1))-AVERAGE(OFFSET($H$3,0,0,'Données projet'!$E$13+1,1))</f>
        <v>403.33327536410098</v>
      </c>
      <c r="CZ21" s="60">
        <f t="shared" si="42"/>
        <v>218.26721063098552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11.54</v>
      </c>
      <c r="DO21" s="13">
        <f>IF('Données projet'!$A$166&gt;35,DO20+DN21-DW20,IF(A21&lt;'Données projet'!$A$166,$DL$205^A21,IF(A21='Données projet'!$A$166,'Données projet'!$B$166,DO20+DN21-DW20)))</f>
        <v>72.02</v>
      </c>
      <c r="DP21" s="18">
        <f>DO21*VLOOKUP('Données projet'!$B$14,Paramètres!$A$1:$I$89,3,0)*VLOOKUP('Données projet'!$B$14,Paramètres!$A$1:$I$89,5,0)</f>
        <v>57.299111999999994</v>
      </c>
      <c r="DQ21" s="14">
        <f t="shared" si="43"/>
        <v>16.483580059789663</v>
      </c>
      <c r="DR21" s="22">
        <f t="shared" si="16"/>
        <v>128.50485533746698</v>
      </c>
      <c r="DS21" s="60">
        <f t="shared" si="17"/>
        <v>407.17152200413364</v>
      </c>
      <c r="DT21" s="60">
        <f ca="1">AVERAGE(OFFSET($DS$3,0,0,'Données projet'!$E$14+1,1))-AVERAGE(OFFSET($H$3,0,0,'Données projet'!$E$14+1,1))</f>
        <v>317.13087551964747</v>
      </c>
      <c r="DU21" s="60">
        <f t="shared" si="44"/>
        <v>293.43300041793185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9.56</v>
      </c>
      <c r="EJ21" s="13">
        <f>IF('Données projet'!$A$192&gt;35,EJ20+EI21-ER20,IF(A21&lt;'Données projet'!$A$192,$EG$205^A21,IF(A21='Données projet'!$A$192,'Données projet'!$B$192,EJ20+EI21-ER20)))</f>
        <v>37.580000000000005</v>
      </c>
      <c r="EK21" s="18">
        <f>EJ21*VLOOKUP('Données projet'!$B$15,Paramètres!$A$1:$I$89,3,0)*VLOOKUP('Données projet'!$B$15,Paramètres!$A$1:$I$89,5,0)</f>
        <v>29.898648000000009</v>
      </c>
      <c r="EL21" s="14">
        <f t="shared" si="45"/>
        <v>9.277645512564316</v>
      </c>
      <c r="EM21" s="22">
        <f t="shared" si="19"/>
        <v>68.232044534382865</v>
      </c>
      <c r="EN21" s="60">
        <f t="shared" si="20"/>
        <v>346.89871120104954</v>
      </c>
      <c r="EO21" s="60">
        <f ca="1">AVERAGE(OFFSET($EN$3,0,0,'Données projet'!$E$15+1,1))-AVERAGE(OFFSET($H$3,0,0,'Données projet'!$E$15+1,1))</f>
        <v>253.03289960511904</v>
      </c>
      <c r="EP21" s="60">
        <f t="shared" si="46"/>
        <v>236.85088713056018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9.56</v>
      </c>
      <c r="FE21" s="13">
        <f>IF('Données projet'!$A$218&gt;35,FE20+FD21-FM20,IF(A21&lt;'Données projet'!$A$218,$FB$205^A21,IF(A21='Données projet'!$A$218,'Données projet'!$B$218,FE20+FD21-FM20)))</f>
        <v>37.580000000000005</v>
      </c>
      <c r="FF21" s="18">
        <f>FE21*VLOOKUP('Données projet'!$B$16,Paramètres!$A$1:$I$89,3,0)*VLOOKUP('Données projet'!$B$16,Paramètres!$A$1:$I$89,5,0)</f>
        <v>32.829888000000011</v>
      </c>
      <c r="FG21" s="14">
        <f t="shared" si="47"/>
        <v>10.076917609255906</v>
      </c>
      <c r="FH21" s="22">
        <f t="shared" si="22"/>
        <v>74.729353102787385</v>
      </c>
      <c r="FI21" s="60">
        <f t="shared" si="23"/>
        <v>353.39601976945409</v>
      </c>
      <c r="FJ21" s="60">
        <f ca="1">AVERAGE(OFFSET($FI$3,0,0,'Données projet'!$E$16+1,1))-AVERAGE(OFFSET($H$3,0,0,'Données projet'!$E$16+1,1))</f>
        <v>274.38315511766132</v>
      </c>
      <c r="FK21" s="60">
        <f t="shared" si="48"/>
        <v>255.96663040027175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>
        <f>VLOOKUP(A21,'Données projet'!$A$243:$I$263,2,0)</f>
        <v>3</v>
      </c>
      <c r="FX21" s="13">
        <f>VLOOKUP(A21,'Données projet'!$A$243:$I$263,9,0)</f>
        <v>0.16666666666666666</v>
      </c>
      <c r="FY21" s="13">
        <f t="array" ref="FY21">INDEX(FX:FX,MIN(IF(ISNUMBER(FX21:FX217),ROW(FX21:FX217),"")))</f>
        <v>0.16666666666666666</v>
      </c>
      <c r="FZ21" s="13">
        <f>IF('Données projet'!$A$244&gt;35,FZ20+FY21-GH20,IF(A21&lt;'Données projet'!$A$244,$FW$205^A21,IF(A21='Données projet'!$A$244,'Données projet'!$B$244,FZ20+FY21-GH20)))</f>
        <v>3</v>
      </c>
      <c r="GA21" s="18">
        <f>FZ21*VLOOKUP('Données projet'!$B$17,Paramètres!$A$1:$I$89,3,0)*VLOOKUP('Données projet'!$B$17,Paramètres!$A$1:$I$89,5,0)</f>
        <v>2.5740000000000003</v>
      </c>
      <c r="GB21" s="14">
        <f t="shared" si="49"/>
        <v>1.0625901189618896</v>
      </c>
      <c r="GC21" s="22">
        <f t="shared" si="25"/>
        <v>6.333727790525292</v>
      </c>
      <c r="GD21" s="60">
        <f t="shared" si="26"/>
        <v>285.00039445719199</v>
      </c>
      <c r="GE21" s="60">
        <f ca="1">AVERAGE(OFFSET($GD$3,0,0,'Données projet'!$E$17+1,1))-AVERAGE(OFFSET($H$3,0,0,'Données projet'!$E$17+1,1))</f>
        <v>445.81166342116865</v>
      </c>
      <c r="GF21" s="60">
        <f t="shared" si="50"/>
        <v>230.82970731138215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9.6</v>
      </c>
      <c r="GU21" s="13">
        <f>IF('Données projet'!$A$270&gt;35,GU20+GT21-HC20,IF(A21&lt;'Données projet'!$A$270,$GR$205^A21,IF(A21='Données projet'!$A$270,'Données projet'!$B$270,GU20+GT21-HC20)))</f>
        <v>68.8</v>
      </c>
      <c r="GV21" s="18">
        <f>GU21*VLOOKUP('Données projet'!$B$18,Paramètres!$A$1:$I$89,3,0)*VLOOKUP('Données projet'!$B$18,Paramètres!$A$1:$I$89,5,0)</f>
        <v>53.664000000000001</v>
      </c>
      <c r="GW21" s="14">
        <f t="shared" si="51"/>
        <v>15.556073979202782</v>
      </c>
      <c r="GX21" s="22">
        <f t="shared" si="28"/>
        <v>120.55829551377816</v>
      </c>
      <c r="GY21" s="60">
        <f t="shared" si="29"/>
        <v>399.22496218044483</v>
      </c>
      <c r="GZ21" s="60">
        <f ca="1">AVERAGE(OFFSET($GY$3,0,0,'Données projet'!$E$18+1,1))-AVERAGE(OFFSET($H$3,0,0,'Données projet'!$E$18+1,1))</f>
        <v>289.19475369871481</v>
      </c>
      <c r="HA21" s="60">
        <f t="shared" si="52"/>
        <v>283.48738729114024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projet'!$B$18,Paramètres!$A$1:$I$89,3,0)*0.475*44/12</f>
        <v>0</v>
      </c>
      <c r="HH21" s="23">
        <f>EXP(-LN(2)/25)*HH20+(1-EXP(-LN(2)/25))/(LN(2)/25)*Calculateur!HC21*Calculateur!HE21*VLOOKUP('Données projet'!$B$18,Paramètres!$A$1:$I$89,3,0)*0.475*44/12</f>
        <v>0</v>
      </c>
      <c r="HI21" s="23">
        <f>EXP(-LN(2)/2)*HI20+(1-EXP(-LN(2)/2))/(LN(2)/2)*HC21*HF21*VLOOKUP('Données projet'!$B$18,Paramètres!$A$1:$I$89,3,0)*0.475*44/12</f>
        <v>0</v>
      </c>
      <c r="HJ21" s="24">
        <f t="shared" si="30"/>
        <v>0</v>
      </c>
    </row>
    <row r="22" spans="1:218" s="5" customFormat="1" x14ac:dyDescent="0.3">
      <c r="A22" s="11">
        <f t="shared" si="31"/>
        <v>19</v>
      </c>
      <c r="B22" s="75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8">
        <f t="shared" si="1"/>
        <v>256.66666666666669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33.697921459200977</v>
      </c>
      <c r="P22" s="14">
        <f t="shared" si="33"/>
        <v>10.31198270984201</v>
      </c>
      <c r="Q22" s="22">
        <f t="shared" si="2"/>
        <v>76.650583094416518</v>
      </c>
      <c r="R22" s="60">
        <f t="shared" si="0"/>
        <v>356.53947198330536</v>
      </c>
      <c r="S22" s="60">
        <f ca="1">AVERAGE(OFFSET($R$3,0,0,'Données projet'!$E$9+1,1))-AVERAGE(OFFSET($H$3,0,0,'Données projet'!$E$9+1,1))</f>
        <v>456.86147223520601</v>
      </c>
      <c r="T22" s="60">
        <f t="shared" si="34"/>
        <v>244.45149244446094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2.44</v>
      </c>
      <c r="AI22" s="14">
        <f>IF('Données projet'!$A$62&gt;35,AI21+AH22-AQ21,IF(A22&lt;'Données projet'!$A$62,$AF$205^A22,IF(A22='Données projet'!$A$62,'Données projet'!$B$62,AI21+AH22-AQ21)))</f>
        <v>22.743153084317761</v>
      </c>
      <c r="AJ22" s="14">
        <f>AI22*VLOOKUP('Données projet'!$B$10,Paramètres!$A$1:$I$89,3,0)*VLOOKUP('Données projet'!$B$10,Paramètres!$A$1:$I$89,5,0)</f>
        <v>14.901313900844999</v>
      </c>
      <c r="AK22" s="14">
        <f t="shared" si="35"/>
        <v>5.014334352479799</v>
      </c>
      <c r="AL22" s="22">
        <f t="shared" si="4"/>
        <v>34.686420707874021</v>
      </c>
      <c r="AM22" s="60">
        <f t="shared" si="5"/>
        <v>314.57530959676285</v>
      </c>
      <c r="AN22" s="60">
        <f ca="1">AVERAGE(OFFSET($AM$3,0,0,'Données projet'!$E$10+1,1))-AVERAGE(OFFSET($H$3,0,0,'Données projet'!$E$10+1,1))</f>
        <v>170.79567854714986</v>
      </c>
      <c r="AO22" s="60">
        <f t="shared" si="36"/>
        <v>155.92788004111191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10</v>
      </c>
      <c r="BD22" s="13">
        <f>IF('Données projet'!$A$88&gt;35,BD21+BC22-BL21,IF(A22&lt;'Données projet'!$A$88,$BA$205^A22,IF(A22='Données projet'!$A$88,'Données projet'!$B$88,BD21+BC22-BL21)))</f>
        <v>89</v>
      </c>
      <c r="BE22" s="14">
        <f>BD22*VLOOKUP('Données projet'!$B$11,Paramètres!$A$1:$I$89,3,0)*VLOOKUP('Données projet'!$B$11,Paramètres!$A$1:$I$89,5,0)</f>
        <v>72.19680000000001</v>
      </c>
      <c r="BF22" s="14">
        <f t="shared" si="37"/>
        <v>20.218015459285922</v>
      </c>
      <c r="BG22" s="22">
        <f t="shared" si="7"/>
        <v>160.95580359158967</v>
      </c>
      <c r="BH22" s="60">
        <f t="shared" si="8"/>
        <v>440.84469248047856</v>
      </c>
      <c r="BI22" s="60">
        <f ca="1">AVERAGE(OFFSET($BH$3,0,0,'Données projet'!$E$11+1,1))-AVERAGE(OFFSET($H$3,0,0,'Données projet'!$E$11+1,1))</f>
        <v>256.19915261735281</v>
      </c>
      <c r="BJ22" s="60">
        <f t="shared" si="38"/>
        <v>297.47246687305056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5.8974358974358978</v>
      </c>
      <c r="BY22" s="13">
        <f>IF('Données projet'!$A$114&gt;35,BY21+BX22-CG21,IF(A22&lt;'Données projet'!$A$114,$BV$205^A22,IF(A22='Données projet'!$A$114,'Données projet'!$B$114,BY21+BX22-CG21)))</f>
        <v>57.564102564102562</v>
      </c>
      <c r="BZ22" s="14">
        <f>BY22*VLOOKUP('Données projet'!$B$12,Paramètres!$A$1:$I$89,3,0)*VLOOKUP('Données projet'!$B$12,Paramètres!$A$1:$I$89,5,0)</f>
        <v>54.777999999999992</v>
      </c>
      <c r="CA22" s="14">
        <f t="shared" si="39"/>
        <v>15.841068726644904</v>
      </c>
      <c r="CB22" s="22">
        <f t="shared" si="10"/>
        <v>122.99487803223985</v>
      </c>
      <c r="CC22" s="60">
        <f t="shared" si="11"/>
        <v>402.88376692112871</v>
      </c>
      <c r="CD22" s="60">
        <f ca="1">AVERAGE(OFFSET($CC$3,0,0,'Données projet'!$E$12+1,1))-AVERAGE(OFFSET($H$3,0,0,'Données projet'!$E$12+1,1))</f>
        <v>353.53401919391234</v>
      </c>
      <c r="CE22" s="60">
        <f t="shared" si="40"/>
        <v>244.7141066773861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2.1</v>
      </c>
      <c r="CT22" s="13">
        <f>IF('Données projet'!$A$140&gt;35,CT21+CS22-DB21,IF(A22&lt;'Données projet'!$A$140,$CQ$205^A22,IF(A22='Données projet'!$A$140,'Données projet'!$B$140,CT21+CS22-DB21)))</f>
        <v>34.840696297767764</v>
      </c>
      <c r="CU22" s="18">
        <f>CT22*VLOOKUP('Données projet'!$B$13,Paramètres!$A$1:$I$89,3,0)*VLOOKUP('Données projet'!$B$13,Paramètres!$A$1:$I$89,5,0)</f>
        <v>29.349802561239567</v>
      </c>
      <c r="CV22" s="14">
        <f t="shared" si="41"/>
        <v>9.1269990536799668</v>
      </c>
      <c r="CW22" s="22">
        <f t="shared" si="13"/>
        <v>67.013762812651535</v>
      </c>
      <c r="CX22" s="60">
        <f t="shared" si="14"/>
        <v>346.90265170154038</v>
      </c>
      <c r="CY22" s="60">
        <f ca="1">AVERAGE(OFFSET($CX$3,0,0,'Données projet'!$E$13+1,1))-AVERAGE(OFFSET($H$3,0,0,'Données projet'!$E$13+1,1))</f>
        <v>403.33327536410098</v>
      </c>
      <c r="CZ22" s="60">
        <f t="shared" si="42"/>
        <v>218.26721063098552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11.54</v>
      </c>
      <c r="DO22" s="13">
        <f>IF('Données projet'!$A$166&gt;35,DO21+DN22-DW21,IF(A22&lt;'Données projet'!$A$166,$DL$205^A22,IF(A22='Données projet'!$A$166,'Données projet'!$B$166,DO21+DN22-DW21)))</f>
        <v>83.56</v>
      </c>
      <c r="DP22" s="18">
        <f>DO22*VLOOKUP('Données projet'!$B$14,Paramètres!$A$1:$I$89,3,0)*VLOOKUP('Données projet'!$B$14,Paramètres!$A$1:$I$89,5,0)</f>
        <v>66.480336000000008</v>
      </c>
      <c r="DQ22" s="14">
        <f t="shared" si="43"/>
        <v>18.796793982740784</v>
      </c>
      <c r="DR22" s="22">
        <f t="shared" si="16"/>
        <v>148.52433471994019</v>
      </c>
      <c r="DS22" s="60">
        <f t="shared" si="17"/>
        <v>428.41322360882907</v>
      </c>
      <c r="DT22" s="60">
        <f ca="1">AVERAGE(OFFSET($DS$3,0,0,'Données projet'!$E$14+1,1))-AVERAGE(OFFSET($H$3,0,0,'Données projet'!$E$14+1,1))</f>
        <v>317.13087551964747</v>
      </c>
      <c r="DU22" s="60">
        <f t="shared" si="44"/>
        <v>293.43300041793185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9.56</v>
      </c>
      <c r="EJ22" s="13">
        <f>IF('Données projet'!$A$192&gt;35,EJ21+EI22-ER21,IF(A22&lt;'Données projet'!$A$192,$EG$205^A22,IF(A22='Données projet'!$A$192,'Données projet'!$B$192,EJ21+EI22-ER21)))</f>
        <v>47.140000000000008</v>
      </c>
      <c r="EK22" s="18">
        <f>EJ22*VLOOKUP('Données projet'!$B$15,Paramètres!$A$1:$I$89,3,0)*VLOOKUP('Données projet'!$B$15,Paramètres!$A$1:$I$89,5,0)</f>
        <v>37.504584000000008</v>
      </c>
      <c r="EL22" s="14">
        <f t="shared" si="45"/>
        <v>11.334777485720775</v>
      </c>
      <c r="EM22" s="22">
        <f t="shared" si="19"/>
        <v>85.061887920963684</v>
      </c>
      <c r="EN22" s="60">
        <f t="shared" si="20"/>
        <v>364.95077680985253</v>
      </c>
      <c r="EO22" s="60">
        <f ca="1">AVERAGE(OFFSET($EN$3,0,0,'Données projet'!$E$15+1,1))-AVERAGE(OFFSET($H$3,0,0,'Données projet'!$E$15+1,1))</f>
        <v>253.03289960511904</v>
      </c>
      <c r="EP22" s="60">
        <f t="shared" si="46"/>
        <v>236.85088713056018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9.56</v>
      </c>
      <c r="FE22" s="13">
        <f>IF('Données projet'!$A$218&gt;35,FE21+FD22-FM21,IF(A22&lt;'Données projet'!$A$218,$FB$205^A22,IF(A22='Données projet'!$A$218,'Données projet'!$B$218,FE21+FD22-FM21)))</f>
        <v>47.140000000000008</v>
      </c>
      <c r="FF22" s="18">
        <f>FE22*VLOOKUP('Données projet'!$B$16,Paramètres!$A$1:$I$89,3,0)*VLOOKUP('Données projet'!$B$16,Paramètres!$A$1:$I$89,5,0)</f>
        <v>41.181504000000011</v>
      </c>
      <c r="FG22" s="14">
        <f t="shared" si="47"/>
        <v>12.311272152851107</v>
      </c>
      <c r="FH22" s="22">
        <f t="shared" si="22"/>
        <v>93.166585132882361</v>
      </c>
      <c r="FI22" s="60">
        <f t="shared" si="23"/>
        <v>373.0554740217712</v>
      </c>
      <c r="FJ22" s="60">
        <f ca="1">AVERAGE(OFFSET($FI$3,0,0,'Données projet'!$E$16+1,1))-AVERAGE(OFFSET($H$3,0,0,'Données projet'!$E$16+1,1))</f>
        <v>274.38315511766132</v>
      </c>
      <c r="FK22" s="60">
        <f t="shared" si="48"/>
        <v>255.96663040027175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4.333333333333333</v>
      </c>
      <c r="FZ22" s="13">
        <f>IF('Données projet'!$A$244&gt;35,FZ21+FY22-GH21,IF(A22&lt;'Données projet'!$A$244,$FW$205^A22,IF(A22='Données projet'!$A$244,'Données projet'!$B$244,FZ21+FY22-GH21)))</f>
        <v>7.333333333333333</v>
      </c>
      <c r="GA22" s="18">
        <f>FZ22*VLOOKUP('Données projet'!$B$17,Paramètres!$A$1:$I$89,3,0)*VLOOKUP('Données projet'!$B$17,Paramètres!$A$1:$I$89,5,0)</f>
        <v>6.2919999999999998</v>
      </c>
      <c r="GB22" s="14">
        <f t="shared" si="49"/>
        <v>2.3407863298509932</v>
      </c>
      <c r="GC22" s="22">
        <f t="shared" si="25"/>
        <v>15.035436191157146</v>
      </c>
      <c r="GD22" s="60">
        <f t="shared" si="26"/>
        <v>294.924325080046</v>
      </c>
      <c r="GE22" s="60">
        <f ca="1">AVERAGE(OFFSET($GD$3,0,0,'Données projet'!$E$17+1,1))-AVERAGE(OFFSET($H$3,0,0,'Données projet'!$E$17+1,1))</f>
        <v>445.81166342116865</v>
      </c>
      <c r="GF22" s="60">
        <f t="shared" si="50"/>
        <v>230.82970731138215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9.6</v>
      </c>
      <c r="GU22" s="13">
        <f>IF('Données projet'!$A$270&gt;35,GU21+GT22-HC21,IF(A22&lt;'Données projet'!$A$270,$GR$205^A22,IF(A22='Données projet'!$A$270,'Données projet'!$B$270,GU21+GT22-HC21)))</f>
        <v>78.399999999999991</v>
      </c>
      <c r="GV22" s="18">
        <f>GU22*VLOOKUP('Données projet'!$B$18,Paramètres!$A$1:$I$89,3,0)*VLOOKUP('Données projet'!$B$18,Paramètres!$A$1:$I$89,5,0)</f>
        <v>61.151999999999994</v>
      </c>
      <c r="GW22" s="14">
        <f t="shared" si="51"/>
        <v>17.459207591071255</v>
      </c>
      <c r="GX22" s="22">
        <f t="shared" si="28"/>
        <v>136.9145198877824</v>
      </c>
      <c r="GY22" s="60">
        <f t="shared" si="29"/>
        <v>416.80340877667129</v>
      </c>
      <c r="GZ22" s="60">
        <f ca="1">AVERAGE(OFFSET($GY$3,0,0,'Données projet'!$E$18+1,1))-AVERAGE(OFFSET($H$3,0,0,'Données projet'!$E$18+1,1))</f>
        <v>289.19475369871481</v>
      </c>
      <c r="HA22" s="60">
        <f t="shared" si="52"/>
        <v>283.48738729114024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projet'!$B$18,Paramètres!$A$1:$I$89,3,0)*0.475*44/12</f>
        <v>0</v>
      </c>
      <c r="HH22" s="23">
        <f>EXP(-LN(2)/25)*HH21+(1-EXP(-LN(2)/25))/(LN(2)/25)*Calculateur!HC22*Calculateur!HE22*VLOOKUP('Données projet'!$B$18,Paramètres!$A$1:$I$89,3,0)*0.475*44/12</f>
        <v>0</v>
      </c>
      <c r="HI22" s="23">
        <f>EXP(-LN(2)/2)*HI21+(1-EXP(-LN(2)/2))/(LN(2)/2)*HC22*HF22*VLOOKUP('Données projet'!$B$18,Paramètres!$A$1:$I$89,3,0)*0.475*44/12</f>
        <v>0</v>
      </c>
      <c r="HJ22" s="24">
        <f t="shared" si="30"/>
        <v>0</v>
      </c>
    </row>
    <row r="23" spans="1:218" s="5" customFormat="1" x14ac:dyDescent="0.3">
      <c r="A23" s="11">
        <f t="shared" si="31"/>
        <v>20</v>
      </c>
      <c r="B23" s="75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8">
        <f t="shared" si="1"/>
        <v>256.66666666666669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40.622399999999999</v>
      </c>
      <c r="P23" s="14">
        <f t="shared" si="33"/>
        <v>12.163465560290264</v>
      </c>
      <c r="Q23" s="22">
        <f t="shared" si="2"/>
        <v>91.935382517505545</v>
      </c>
      <c r="R23" s="60">
        <f t="shared" si="0"/>
        <v>373.0464936286167</v>
      </c>
      <c r="S23" s="60">
        <f ca="1">AVERAGE(OFFSET($R$3,0,0,'Données projet'!$E$9+1,1))-AVERAGE(OFFSET($H$3,0,0,'Données projet'!$E$9+1,1))</f>
        <v>456.86147223520601</v>
      </c>
      <c r="T23" s="60">
        <f t="shared" si="34"/>
        <v>244.45149244446094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2.44</v>
      </c>
      <c r="AI23" s="14">
        <f>IF('Données projet'!$A$62&gt;35,AI22+AH23-AQ22,IF(A23&lt;'Données projet'!$A$62,$AF$205^A23,IF(A23='Données projet'!$A$62,'Données projet'!$B$62,AI22+AH23-AQ22)))</f>
        <v>26.807966246166025</v>
      </c>
      <c r="AJ23" s="14">
        <f>AI23*VLOOKUP('Données projet'!$B$10,Paramètres!$A$1:$I$89,3,0)*VLOOKUP('Données projet'!$B$10,Paramètres!$A$1:$I$89,5,0)</f>
        <v>17.564579484487979</v>
      </c>
      <c r="AK23" s="14">
        <f t="shared" si="35"/>
        <v>5.7984776394901036</v>
      </c>
      <c r="AL23" s="22">
        <f t="shared" si="4"/>
        <v>40.690657824261827</v>
      </c>
      <c r="AM23" s="60">
        <f t="shared" si="5"/>
        <v>321.80176893537299</v>
      </c>
      <c r="AN23" s="60">
        <f ca="1">AVERAGE(OFFSET($AM$3,0,0,'Données projet'!$E$10+1,1))-AVERAGE(OFFSET($H$3,0,0,'Données projet'!$E$10+1,1))</f>
        <v>170.79567854714986</v>
      </c>
      <c r="AO23" s="60">
        <f t="shared" si="36"/>
        <v>155.92788004111191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99</v>
      </c>
      <c r="BB23" s="13">
        <f>VLOOKUP(A23,'Données projet'!$A$87:$I$107,9,0)</f>
        <v>10</v>
      </c>
      <c r="BC23" s="13">
        <f t="array" ref="BC23">INDEX(BB:BB,MIN(IF(ISNUMBER(BB23:BB219),ROW(BB23:BB219),"")))</f>
        <v>10</v>
      </c>
      <c r="BD23" s="13">
        <f>IF('Données projet'!$A$88&gt;35,BD22+BC23-BL22,IF(A23&lt;'Données projet'!$A$88,$BA$205^A23,IF(A23='Données projet'!$A$88,'Données projet'!$B$88,BD22+BC23-BL22)))</f>
        <v>99</v>
      </c>
      <c r="BE23" s="14">
        <f>BD23*VLOOKUP('Données projet'!$B$11,Paramètres!$A$1:$I$89,3,0)*VLOOKUP('Données projet'!$B$11,Paramètres!$A$1:$I$89,5,0)</f>
        <v>80.308800000000005</v>
      </c>
      <c r="BF23" s="14">
        <f t="shared" si="37"/>
        <v>22.212670396389218</v>
      </c>
      <c r="BG23" s="22">
        <f t="shared" si="7"/>
        <v>178.55822760704453</v>
      </c>
      <c r="BH23" s="60">
        <f t="shared" si="8"/>
        <v>459.6693387181557</v>
      </c>
      <c r="BI23" s="60">
        <f ca="1">AVERAGE(OFFSET($BH$3,0,0,'Données projet'!$E$11+1,1))-AVERAGE(OFFSET($H$3,0,0,'Données projet'!$E$11+1,1))</f>
        <v>256.19915261735281</v>
      </c>
      <c r="BJ23" s="60">
        <f t="shared" si="38"/>
        <v>297.47246687305056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40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63.46153846153846</v>
      </c>
      <c r="BW23" s="13">
        <f>VLOOKUP(A23,'Données projet'!$A$113:$I$133,9,0)</f>
        <v>5.8974358974358978</v>
      </c>
      <c r="BX23" s="13">
        <f t="array" ref="BX23">INDEX(BW:BW,MIN(IF(ISNUMBER(BW23:BW219),ROW(BW23:BW219),"")))</f>
        <v>5.8974358974358978</v>
      </c>
      <c r="BY23" s="13">
        <f>IF('Données projet'!$A$114&gt;35,BY22+BX23-CG22,IF(A23&lt;'Données projet'!$A$114,$BV$205^A23,IF(A23='Données projet'!$A$114,'Données projet'!$B$114,BY22+BX23-CG22)))</f>
        <v>63.46153846153846</v>
      </c>
      <c r="BZ23" s="14">
        <f>BY23*VLOOKUP('Données projet'!$B$12,Paramètres!$A$1:$I$89,3,0)*VLOOKUP('Données projet'!$B$12,Paramètres!$A$1:$I$89,5,0)</f>
        <v>60.39</v>
      </c>
      <c r="CA23" s="14">
        <f t="shared" si="39"/>
        <v>17.266836036680591</v>
      </c>
      <c r="CB23" s="22">
        <f t="shared" si="10"/>
        <v>135.25232276388536</v>
      </c>
      <c r="CC23" s="60">
        <f t="shared" si="11"/>
        <v>416.36343387499653</v>
      </c>
      <c r="CD23" s="60">
        <f ca="1">AVERAGE(OFFSET($CC$3,0,0,'Données projet'!$E$12+1,1))-AVERAGE(OFFSET($H$3,0,0,'Données projet'!$E$12+1,1))</f>
        <v>353.53401919391234</v>
      </c>
      <c r="CE23" s="60">
        <f t="shared" si="40"/>
        <v>244.7141066773861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42</v>
      </c>
      <c r="CR23" s="13">
        <f>VLOOKUP(A23,'Données projet'!$A$139:$I$159,9,0)</f>
        <v>2.1</v>
      </c>
      <c r="CS23" s="13">
        <f t="array" ref="CS23">INDEX(CR:CR,MIN(IF(ISNUMBER(CR23:CR219),ROW(CR23:CR219),"")))</f>
        <v>2.1</v>
      </c>
      <c r="CT23" s="13">
        <f>IF('Données projet'!$A$140&gt;35,CT22+CS23-DB22,IF(A23&lt;'Données projet'!$A$140,$CQ$205^A23,IF(A23='Données projet'!$A$140,'Données projet'!$B$140,CT22+CS23-DB22)))</f>
        <v>42</v>
      </c>
      <c r="CU23" s="18">
        <f>CT23*VLOOKUP('Données projet'!$B$13,Paramètres!$A$1:$I$89,3,0)*VLOOKUP('Données projet'!$B$13,Paramètres!$A$1:$I$89,5,0)</f>
        <v>35.380800000000001</v>
      </c>
      <c r="CV23" s="14">
        <f t="shared" si="41"/>
        <v>10.765721954933243</v>
      </c>
      <c r="CW23" s="22">
        <f t="shared" si="13"/>
        <v>80.371859071508723</v>
      </c>
      <c r="CX23" s="60">
        <f t="shared" si="14"/>
        <v>361.48297018261985</v>
      </c>
      <c r="CY23" s="60">
        <f ca="1">AVERAGE(OFFSET($CX$3,0,0,'Données projet'!$E$13+1,1))-AVERAGE(OFFSET($H$3,0,0,'Données projet'!$E$13+1,1))</f>
        <v>403.33327536410098</v>
      </c>
      <c r="CZ23" s="60">
        <f t="shared" si="42"/>
        <v>218.26721063098552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95.1</v>
      </c>
      <c r="DM23" s="13">
        <f>VLOOKUP(A23,'Données projet'!$A$165:$I$185,9,0)</f>
        <v>11.54</v>
      </c>
      <c r="DN23" s="13">
        <f t="array" ref="DN23">INDEX(DM:DM,MIN(IF(ISNUMBER(DM23:DM219),ROW(DM23:DM219),"")))</f>
        <v>11.54</v>
      </c>
      <c r="DO23" s="13">
        <f>IF('Données projet'!$A$166&gt;35,DO22+DN23-DW22,IF(A23&lt;'Données projet'!$A$166,$DL$205^A23,IF(A23='Données projet'!$A$166,'Données projet'!$B$166,DO22+DN23-DW22)))</f>
        <v>95.1</v>
      </c>
      <c r="DP23" s="18">
        <f>DO23*VLOOKUP('Données projet'!$B$14,Paramètres!$A$1:$I$89,3,0)*VLOOKUP('Données projet'!$B$14,Paramètres!$A$1:$I$89,5,0)</f>
        <v>75.661559999999994</v>
      </c>
      <c r="DQ23" s="14">
        <f t="shared" si="43"/>
        <v>21.072995399411479</v>
      </c>
      <c r="DR23" s="22">
        <f t="shared" si="16"/>
        <v>168.47935065397499</v>
      </c>
      <c r="DS23" s="60">
        <f t="shared" si="17"/>
        <v>449.59046176508616</v>
      </c>
      <c r="DT23" s="60">
        <f ca="1">AVERAGE(OFFSET($DS$3,0,0,'Données projet'!$E$14+1,1))-AVERAGE(OFFSET($H$3,0,0,'Données projet'!$E$14+1,1))</f>
        <v>317.13087551964747</v>
      </c>
      <c r="DU23" s="60">
        <f t="shared" si="44"/>
        <v>293.43300041793185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56.7</v>
      </c>
      <c r="EH23" s="13">
        <f>VLOOKUP(A23,'Données projet'!$A$191:$I$211,9,0)</f>
        <v>9.56</v>
      </c>
      <c r="EI23" s="13">
        <f t="array" ref="EI23">INDEX(EH:EH,MIN(IF(ISNUMBER(EH23:EH219),ROW(EH23:EH219),"")))</f>
        <v>9.56</v>
      </c>
      <c r="EJ23" s="13">
        <f>IF('Données projet'!$A$192&gt;35,EJ22+EI23-ER22,IF(A23&lt;'Données projet'!$A$192,$EG$205^A23,IF(A23='Données projet'!$A$192,'Données projet'!$B$192,EJ22+EI23-ER22)))</f>
        <v>56.70000000000001</v>
      </c>
      <c r="EK23" s="18">
        <f>EJ23*VLOOKUP('Données projet'!$B$15,Paramètres!$A$1:$I$89,3,0)*VLOOKUP('Données projet'!$B$15,Paramètres!$A$1:$I$89,5,0)</f>
        <v>45.110520000000008</v>
      </c>
      <c r="EL23" s="14">
        <f t="shared" si="45"/>
        <v>13.343567546524644</v>
      </c>
      <c r="EM23" s="22">
        <f t="shared" si="19"/>
        <v>101.80753581019711</v>
      </c>
      <c r="EN23" s="60">
        <f t="shared" si="20"/>
        <v>382.91864692130827</v>
      </c>
      <c r="EO23" s="60">
        <f ca="1">AVERAGE(OFFSET($EN$3,0,0,'Données projet'!$E$15+1,1))-AVERAGE(OFFSET($H$3,0,0,'Données projet'!$E$15+1,1))</f>
        <v>253.03289960511904</v>
      </c>
      <c r="EP23" s="60">
        <f t="shared" si="46"/>
        <v>236.85088713056018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56.7</v>
      </c>
      <c r="FC23" s="13">
        <f>VLOOKUP(A23,'Données projet'!$A$217:$I$237,9,0)</f>
        <v>9.56</v>
      </c>
      <c r="FD23" s="13">
        <f t="array" ref="FD23">INDEX(FC:FC,MIN(IF(ISNUMBER(FC23:FC219),ROW(FC23:FC219),"")))</f>
        <v>9.56</v>
      </c>
      <c r="FE23" s="13">
        <f>IF('Données projet'!$A$218&gt;35,FE22+FD23-FM22,IF(A23&lt;'Données projet'!$A$218,$FB$205^A23,IF(A23='Données projet'!$A$218,'Données projet'!$B$218,FE22+FD23-FM22)))</f>
        <v>56.70000000000001</v>
      </c>
      <c r="FF23" s="18">
        <f>FE23*VLOOKUP('Données projet'!$B$16,Paramètres!$A$1:$I$89,3,0)*VLOOKUP('Données projet'!$B$16,Paramètres!$A$1:$I$89,5,0)</f>
        <v>49.533120000000018</v>
      </c>
      <c r="FG23" s="14">
        <f t="shared" si="47"/>
        <v>14.493120113047395</v>
      </c>
      <c r="FH23" s="22">
        <f t="shared" si="22"/>
        <v>111.5123681968909</v>
      </c>
      <c r="FI23" s="60">
        <f t="shared" si="23"/>
        <v>392.62347930800206</v>
      </c>
      <c r="FJ23" s="60">
        <f ca="1">AVERAGE(OFFSET($FI$3,0,0,'Données projet'!$E$16+1,1))-AVERAGE(OFFSET($H$3,0,0,'Données projet'!$E$16+1,1))</f>
        <v>274.38315511766132</v>
      </c>
      <c r="FK23" s="60">
        <f t="shared" si="48"/>
        <v>255.96663040027175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4.333333333333333</v>
      </c>
      <c r="FZ23" s="13">
        <f>IF('Données projet'!$A$244&gt;35,FZ22+FY23-GH22,IF(A23&lt;'Données projet'!$A$244,$FW$205^A23,IF(A23='Données projet'!$A$244,'Données projet'!$B$244,FZ22+FY23-GH22)))</f>
        <v>11.666666666666666</v>
      </c>
      <c r="GA23" s="18">
        <f>FZ23*VLOOKUP('Données projet'!$B$17,Paramètres!$A$1:$I$89,3,0)*VLOOKUP('Données projet'!$B$17,Paramètres!$A$1:$I$89,5,0)</f>
        <v>10.010000000000002</v>
      </c>
      <c r="GB23" s="14">
        <f t="shared" si="49"/>
        <v>3.5280571841195489</v>
      </c>
      <c r="GC23" s="22">
        <f t="shared" si="25"/>
        <v>23.578782929008216</v>
      </c>
      <c r="GD23" s="60">
        <f t="shared" si="26"/>
        <v>304.68989404011938</v>
      </c>
      <c r="GE23" s="60">
        <f ca="1">AVERAGE(OFFSET($GD$3,0,0,'Données projet'!$E$17+1,1))-AVERAGE(OFFSET($H$3,0,0,'Données projet'!$E$17+1,1))</f>
        <v>445.81166342116865</v>
      </c>
      <c r="GF23" s="60">
        <f t="shared" si="50"/>
        <v>230.82970731138215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>
        <f>VLOOKUP(A23,'Données projet'!$A$269:$I$289,2,0)</f>
        <v>88</v>
      </c>
      <c r="GS23" s="13">
        <f>VLOOKUP(A23,'Données projet'!$A$269:$I$289,9,0)</f>
        <v>9.6</v>
      </c>
      <c r="GT23" s="13">
        <f t="array" ref="GT23">INDEX(GS:GS,MIN(IF(ISNUMBER(GS23:GS219),ROW(GS23:GS219),"")))</f>
        <v>9.6</v>
      </c>
      <c r="GU23" s="13">
        <f>IF('Données projet'!$A$270&gt;35,GU22+GT23-HC22,IF(A23&lt;'Données projet'!$A$270,$GR$205^A23,IF(A23='Données projet'!$A$270,'Données projet'!$B$270,GU22+GT23-HC22)))</f>
        <v>87.999999999999986</v>
      </c>
      <c r="GV23" s="18">
        <f>GU23*VLOOKUP('Données projet'!$B$18,Paramètres!$A$1:$I$89,3,0)*VLOOKUP('Données projet'!$B$18,Paramètres!$A$1:$I$89,5,0)</f>
        <v>68.639999999999986</v>
      </c>
      <c r="GW23" s="14">
        <f t="shared" si="51"/>
        <v>19.335336956640202</v>
      </c>
      <c r="GX23" s="22">
        <f t="shared" si="28"/>
        <v>153.22371186614834</v>
      </c>
      <c r="GY23" s="60">
        <f t="shared" si="29"/>
        <v>434.33482297725948</v>
      </c>
      <c r="GZ23" s="60">
        <f ca="1">AVERAGE(OFFSET($GY$3,0,0,'Données projet'!$E$18+1,1))-AVERAGE(OFFSET($H$3,0,0,'Données projet'!$E$18+1,1))</f>
        <v>289.19475369871481</v>
      </c>
      <c r="HA23" s="60">
        <f t="shared" si="52"/>
        <v>283.48738729114024</v>
      </c>
      <c r="HB23" s="16">
        <f>IF(ISNA(VLOOKUP(A23,'Données projet'!$A$269:$I$289,3,0)),0,VLOOKUP(A23,'Données projet'!$A$269:$I$289,3,0))</f>
        <v>1</v>
      </c>
      <c r="HC23" s="16">
        <f>IF(ISNA(VLOOKUP(A23,'Données projet'!$A$269:$I$289,4,0)),0,VLOOKUP(A23,'Données projet'!$A$269:$I$289,4,0))</f>
        <v>28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projet'!$B$18,Paramètres!$A$1:$I$89,3,0)*0.475*44/12</f>
        <v>0</v>
      </c>
      <c r="HH23" s="23">
        <f>EXP(-LN(2)/25)*HH22+(1-EXP(-LN(2)/25))/(LN(2)/25)*Calculateur!HC23*Calculateur!HE23*VLOOKUP('Données projet'!$B$18,Paramètres!$A$1:$I$89,3,0)*0.475*44/12</f>
        <v>0</v>
      </c>
      <c r="HI23" s="23">
        <f>EXP(-LN(2)/2)*HI22+(1-EXP(-LN(2)/2))/(LN(2)/2)*HC23*HF23*VLOOKUP('Données projet'!$B$18,Paramètres!$A$1:$I$89,3,0)*0.475*44/12</f>
        <v>0</v>
      </c>
      <c r="HJ23" s="24">
        <f t="shared" si="30"/>
        <v>0</v>
      </c>
    </row>
    <row r="24" spans="1:218" s="5" customFormat="1" x14ac:dyDescent="0.3">
      <c r="A24" s="11">
        <f t="shared" si="31"/>
        <v>21</v>
      </c>
      <c r="B24" s="75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8">
        <f t="shared" si="1"/>
        <v>256.66666666666669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46.038720000000005</v>
      </c>
      <c r="P24" s="14">
        <f t="shared" si="33"/>
        <v>13.585879560828786</v>
      </c>
      <c r="Q24" s="22">
        <f t="shared" si="2"/>
        <v>103.84617756844348</v>
      </c>
      <c r="R24" s="60">
        <f t="shared" si="0"/>
        <v>386.17951090177678</v>
      </c>
      <c r="S24" s="60">
        <f ca="1">AVERAGE(OFFSET($R$3,0,0,'Données projet'!$E$9+1,1))-AVERAGE(OFFSET($H$3,0,0,'Données projet'!$E$9+1,1))</f>
        <v>456.86147223520601</v>
      </c>
      <c r="T24" s="60">
        <f t="shared" si="34"/>
        <v>244.45149244446094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2.44</v>
      </c>
      <c r="AI24" s="14">
        <f>IF('Données projet'!$A$62&gt;35,AI23+AH24-AQ23,IF(A24&lt;'Données projet'!$A$62,$AF$205^A24,IF(A24='Données projet'!$A$62,'Données projet'!$B$62,AI23+AH24-AQ23)))</f>
        <v>31.599270848294303</v>
      </c>
      <c r="AJ24" s="14">
        <f>AI24*VLOOKUP('Données projet'!$B$10,Paramètres!$A$1:$I$89,3,0)*VLOOKUP('Données projet'!$B$10,Paramètres!$A$1:$I$89,5,0)</f>
        <v>20.703842259802428</v>
      </c>
      <c r="AK24" s="14">
        <f t="shared" si="35"/>
        <v>6.7052455165936591</v>
      </c>
      <c r="AL24" s="22">
        <f t="shared" si="4"/>
        <v>47.737494543889852</v>
      </c>
      <c r="AM24" s="60">
        <f t="shared" si="5"/>
        <v>330.07082787722317</v>
      </c>
      <c r="AN24" s="60">
        <f ca="1">AVERAGE(OFFSET($AM$3,0,0,'Données projet'!$E$10+1,1))-AVERAGE(OFFSET($H$3,0,0,'Données projet'!$E$10+1,1))</f>
        <v>170.79567854714986</v>
      </c>
      <c r="AO24" s="60">
        <f t="shared" si="36"/>
        <v>155.92788004111191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8.6</v>
      </c>
      <c r="BD24" s="13">
        <f>IF('Données projet'!$A$88&gt;35,BD23+BC24-BL23,IF(A24&lt;'Données projet'!$A$88,$BA$205^A24,IF(A24='Données projet'!$A$88,'Données projet'!$B$88,BD23+BC24-BL23)))</f>
        <v>67.599999999999994</v>
      </c>
      <c r="BE24" s="14">
        <f>BD24*VLOOKUP('Données projet'!$B$11,Paramètres!$A$1:$I$89,3,0)*VLOOKUP('Données projet'!$B$11,Paramètres!$A$1:$I$89,5,0)</f>
        <v>54.837120000000006</v>
      </c>
      <c r="BF24" s="14">
        <f t="shared" si="37"/>
        <v>15.856174437579886</v>
      </c>
      <c r="BG24" s="22">
        <f t="shared" si="7"/>
        <v>123.12415447878497</v>
      </c>
      <c r="BH24" s="60">
        <f t="shared" si="8"/>
        <v>405.4574878121183</v>
      </c>
      <c r="BI24" s="60">
        <f ca="1">AVERAGE(OFFSET($BH$3,0,0,'Données projet'!$E$11+1,1))-AVERAGE(OFFSET($H$3,0,0,'Données projet'!$E$11+1,1))</f>
        <v>256.19915261735281</v>
      </c>
      <c r="BJ24" s="60">
        <f t="shared" si="38"/>
        <v>297.47246687305056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6.1538461538461533</v>
      </c>
      <c r="BY24" s="13">
        <f>IF('Données projet'!$A$114&gt;35,BY23+BX24-CG23,IF(A24&lt;'Données projet'!$A$114,$BV$205^A24,IF(A24='Données projet'!$A$114,'Données projet'!$B$114,BY23+BX24-CG23)))</f>
        <v>69.615384615384613</v>
      </c>
      <c r="BZ24" s="14">
        <f>BY24*VLOOKUP('Données projet'!$B$12,Paramètres!$A$1:$I$89,3,0)*VLOOKUP('Données projet'!$B$12,Paramètres!$A$1:$I$89,5,0)</f>
        <v>66.245999999999995</v>
      </c>
      <c r="CA24" s="14">
        <f t="shared" si="39"/>
        <v>18.738237565286223</v>
      </c>
      <c r="CB24" s="22">
        <f t="shared" si="10"/>
        <v>148.01421375954016</v>
      </c>
      <c r="CC24" s="60">
        <f t="shared" si="11"/>
        <v>430.34754709287347</v>
      </c>
      <c r="CD24" s="60">
        <f ca="1">AVERAGE(OFFSET($CC$3,0,0,'Données projet'!$E$12+1,1))-AVERAGE(OFFSET($H$3,0,0,'Données projet'!$E$12+1,1))</f>
        <v>353.53401919391234</v>
      </c>
      <c r="CE24" s="60">
        <f t="shared" si="40"/>
        <v>244.7141066773861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5.6</v>
      </c>
      <c r="CT24" s="13">
        <f>IF('Données projet'!$A$140&gt;35,CT23+CS24-DB23,IF(A24&lt;'Données projet'!$A$140,$CQ$205^A24,IF(A24='Données projet'!$A$140,'Données projet'!$B$140,CT23+CS24-DB23)))</f>
        <v>47.6</v>
      </c>
      <c r="CU24" s="18">
        <f>CT24*VLOOKUP('Données projet'!$B$13,Paramètres!$A$1:$I$89,3,0)*VLOOKUP('Données projet'!$B$13,Paramètres!$A$1:$I$89,5,0)</f>
        <v>40.098240000000011</v>
      </c>
      <c r="CV24" s="14">
        <f t="shared" si="41"/>
        <v>12.024681710991171</v>
      </c>
      <c r="CW24" s="22">
        <f t="shared" si="13"/>
        <v>90.780755313309626</v>
      </c>
      <c r="CX24" s="60">
        <f t="shared" si="14"/>
        <v>373.11408864664293</v>
      </c>
      <c r="CY24" s="60">
        <f ca="1">AVERAGE(OFFSET($CX$3,0,0,'Données projet'!$E$13+1,1))-AVERAGE(OFFSET($H$3,0,0,'Données projet'!$E$13+1,1))</f>
        <v>403.33327536410098</v>
      </c>
      <c r="CZ24" s="60">
        <f t="shared" si="42"/>
        <v>218.26721063098552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12.5</v>
      </c>
      <c r="DO24" s="13">
        <f>IF('Données projet'!$A$166&gt;35,DO23+DN24-DW23,IF(A24&lt;'Données projet'!$A$166,$DL$205^A24,IF(A24='Données projet'!$A$166,'Données projet'!$B$166,DO23+DN24-DW23)))</f>
        <v>107.6</v>
      </c>
      <c r="DP24" s="18">
        <f>DO24*VLOOKUP('Données projet'!$B$14,Paramètres!$A$1:$I$89,3,0)*VLOOKUP('Données projet'!$B$14,Paramètres!$A$1:$I$89,5,0)</f>
        <v>85.606560000000002</v>
      </c>
      <c r="DQ24" s="14">
        <f t="shared" si="43"/>
        <v>23.502566518382334</v>
      </c>
      <c r="DR24" s="22">
        <f t="shared" si="16"/>
        <v>190.03172868618256</v>
      </c>
      <c r="DS24" s="60">
        <f t="shared" si="17"/>
        <v>472.3650620195159</v>
      </c>
      <c r="DT24" s="60">
        <f ca="1">AVERAGE(OFFSET($DS$3,0,0,'Données projet'!$E$14+1,1))-AVERAGE(OFFSET($H$3,0,0,'Données projet'!$E$14+1,1))</f>
        <v>317.13087551964747</v>
      </c>
      <c r="DU24" s="60">
        <f t="shared" si="44"/>
        <v>293.43300041793185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10.119999999999999</v>
      </c>
      <c r="EJ24" s="13">
        <f>IF('Données projet'!$A$192&gt;35,EJ23+EI24-ER23,IF(A24&lt;'Données projet'!$A$192,$EG$205^A24,IF(A24='Données projet'!$A$192,'Données projet'!$B$192,EJ23+EI24-ER23)))</f>
        <v>66.820000000000007</v>
      </c>
      <c r="EK24" s="18">
        <f>EJ24*VLOOKUP('Données projet'!$B$15,Paramètres!$A$1:$I$89,3,0)*VLOOKUP('Données projet'!$B$15,Paramètres!$A$1:$I$89,5,0)</f>
        <v>53.161992000000005</v>
      </c>
      <c r="EL24" s="14">
        <f t="shared" si="45"/>
        <v>15.42742080251162</v>
      </c>
      <c r="EM24" s="22">
        <f t="shared" si="19"/>
        <v>119.45989396437439</v>
      </c>
      <c r="EN24" s="60">
        <f t="shared" si="20"/>
        <v>401.79322729770769</v>
      </c>
      <c r="EO24" s="60">
        <f ca="1">AVERAGE(OFFSET($EN$3,0,0,'Données projet'!$E$15+1,1))-AVERAGE(OFFSET($H$3,0,0,'Données projet'!$E$15+1,1))</f>
        <v>253.03289960511904</v>
      </c>
      <c r="EP24" s="60">
        <f t="shared" si="46"/>
        <v>236.85088713056018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10.119999999999999</v>
      </c>
      <c r="FE24" s="13">
        <f>IF('Données projet'!$A$218&gt;35,FE23+FD24-FM23,IF(A24&lt;'Données projet'!$A$218,$FB$205^A24,IF(A24='Données projet'!$A$218,'Données projet'!$B$218,FE23+FD24-FM23)))</f>
        <v>66.820000000000007</v>
      </c>
      <c r="FF24" s="18">
        <f>FE24*VLOOKUP('Données projet'!$B$16,Paramètres!$A$1:$I$89,3,0)*VLOOKUP('Données projet'!$B$16,Paramètres!$A$1:$I$89,5,0)</f>
        <v>58.373952000000017</v>
      </c>
      <c r="FG24" s="14">
        <f t="shared" si="47"/>
        <v>16.756497986444543</v>
      </c>
      <c r="FH24" s="22">
        <f t="shared" si="22"/>
        <v>130.85220039305761</v>
      </c>
      <c r="FI24" s="60">
        <f t="shared" si="23"/>
        <v>413.18553372639093</v>
      </c>
      <c r="FJ24" s="60">
        <f ca="1">AVERAGE(OFFSET($FI$3,0,0,'Données projet'!$E$16+1,1))-AVERAGE(OFFSET($H$3,0,0,'Données projet'!$E$16+1,1))</f>
        <v>274.38315511766132</v>
      </c>
      <c r="FK24" s="60">
        <f t="shared" si="48"/>
        <v>255.96663040027175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>
        <f>VLOOKUP(A24,'Données projet'!$A$243:$I$263,2,0)</f>
        <v>16</v>
      </c>
      <c r="FX24" s="13">
        <f>VLOOKUP(A24,'Données projet'!$A$243:$I$263,9,0)</f>
        <v>4.333333333333333</v>
      </c>
      <c r="FY24" s="13">
        <f t="array" ref="FY24">INDEX(FX:FX,MIN(IF(ISNUMBER(FX24:FX220),ROW(FX24:FX220),"")))</f>
        <v>4.333333333333333</v>
      </c>
      <c r="FZ24" s="13">
        <f>IF('Données projet'!$A$244&gt;35,FZ23+FY24-GH23,IF(A24&lt;'Données projet'!$A$244,$FW$205^A24,IF(A24='Données projet'!$A$244,'Données projet'!$B$244,FZ23+FY24-GH23)))</f>
        <v>16</v>
      </c>
      <c r="GA24" s="18">
        <f>FZ24*VLOOKUP('Données projet'!$B$17,Paramètres!$A$1:$I$89,3,0)*VLOOKUP('Données projet'!$B$17,Paramètres!$A$1:$I$89,5,0)</f>
        <v>13.728000000000002</v>
      </c>
      <c r="GB24" s="14">
        <f t="shared" si="49"/>
        <v>4.6638207366437312</v>
      </c>
      <c r="GC24" s="22">
        <f t="shared" si="25"/>
        <v>32.032421116321167</v>
      </c>
      <c r="GD24" s="60">
        <f t="shared" si="26"/>
        <v>314.3657544496545</v>
      </c>
      <c r="GE24" s="60">
        <f ca="1">AVERAGE(OFFSET($GD$3,0,0,'Données projet'!$E$17+1,1))-AVERAGE(OFFSET($H$3,0,0,'Données projet'!$E$17+1,1))</f>
        <v>445.81166342116865</v>
      </c>
      <c r="GF24" s="60">
        <f t="shared" si="50"/>
        <v>230.82970731138215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10.6</v>
      </c>
      <c r="GU24" s="13">
        <f>IF('Données projet'!$A$270&gt;35,GU23+GT24-HC23,IF(A24&lt;'Données projet'!$A$270,$GR$205^A24,IF(A24='Données projet'!$A$270,'Données projet'!$B$270,GU23+GT24-HC23)))</f>
        <v>70.59999999999998</v>
      </c>
      <c r="GV24" s="18">
        <f>GU24*VLOOKUP('Données projet'!$B$18,Paramètres!$A$1:$I$89,3,0)*VLOOKUP('Données projet'!$B$18,Paramètres!$A$1:$I$89,5,0)</f>
        <v>55.067999999999984</v>
      </c>
      <c r="GW24" s="14">
        <f t="shared" si="51"/>
        <v>15.915148294580479</v>
      </c>
      <c r="GX24" s="22">
        <f t="shared" si="28"/>
        <v>123.62898327972762</v>
      </c>
      <c r="GY24" s="60">
        <f t="shared" si="29"/>
        <v>405.96231661306092</v>
      </c>
      <c r="GZ24" s="60">
        <f ca="1">AVERAGE(OFFSET($GY$3,0,0,'Données projet'!$E$18+1,1))-AVERAGE(OFFSET($H$3,0,0,'Données projet'!$E$18+1,1))</f>
        <v>289.19475369871481</v>
      </c>
      <c r="HA24" s="60">
        <f t="shared" si="52"/>
        <v>283.48738729114024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projet'!$B$18,Paramètres!$A$1:$I$89,3,0)*0.475*44/12</f>
        <v>0</v>
      </c>
      <c r="HH24" s="23">
        <f>EXP(-LN(2)/25)*HH23+(1-EXP(-LN(2)/25))/(LN(2)/25)*Calculateur!HC24*Calculateur!HE24*VLOOKUP('Données projet'!$B$18,Paramètres!$A$1:$I$89,3,0)*0.475*44/12</f>
        <v>0</v>
      </c>
      <c r="HI24" s="23">
        <f>EXP(-LN(2)/2)*HI23+(1-EXP(-LN(2)/2))/(LN(2)/2)*HC24*HF24*VLOOKUP('Données projet'!$B$18,Paramètres!$A$1:$I$89,3,0)*0.475*44/12</f>
        <v>0</v>
      </c>
      <c r="HJ24" s="24">
        <f t="shared" si="30"/>
        <v>0</v>
      </c>
    </row>
    <row r="25" spans="1:218" s="5" customFormat="1" x14ac:dyDescent="0.3">
      <c r="A25" s="11">
        <f t="shared" si="31"/>
        <v>22</v>
      </c>
      <c r="B25" s="75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8">
        <f t="shared" si="1"/>
        <v>256.66666666666669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51.455040000000004</v>
      </c>
      <c r="P25" s="14">
        <f t="shared" si="33"/>
        <v>14.988900446655085</v>
      </c>
      <c r="Q25" s="22">
        <f t="shared" si="2"/>
        <v>115.72319627792427</v>
      </c>
      <c r="R25" s="60">
        <f t="shared" si="0"/>
        <v>399.27875183347982</v>
      </c>
      <c r="S25" s="60">
        <f ca="1">AVERAGE(OFFSET($R$3,0,0,'Données projet'!$E$9+1,1))-AVERAGE(OFFSET($H$3,0,0,'Données projet'!$E$9+1,1))</f>
        <v>456.86147223520601</v>
      </c>
      <c r="T25" s="60">
        <f t="shared" si="34"/>
        <v>244.45149244446094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2.44</v>
      </c>
      <c r="AI25" s="14">
        <f>IF('Données projet'!$A$62&gt;35,AI24+AH25-AQ24,IF(A25&lt;'Données projet'!$A$62,$AF$205^A25,IF(A25='Données projet'!$A$62,'Données projet'!$B$62,AI24+AH25-AQ24)))</f>
        <v>37.246910450980813</v>
      </c>
      <c r="AJ25" s="14">
        <f>AI25*VLOOKUP('Données projet'!$B$10,Paramètres!$A$1:$I$89,3,0)*VLOOKUP('Données projet'!$B$10,Paramètres!$A$1:$I$89,5,0)</f>
        <v>24.404175727482627</v>
      </c>
      <c r="AK25" s="14">
        <f t="shared" si="35"/>
        <v>7.7538140582970243</v>
      </c>
      <c r="AL25" s="22">
        <f t="shared" si="4"/>
        <v>56.008498876899552</v>
      </c>
      <c r="AM25" s="60">
        <f t="shared" si="5"/>
        <v>339.56405443245512</v>
      </c>
      <c r="AN25" s="60">
        <f ca="1">AVERAGE(OFFSET($AM$3,0,0,'Données projet'!$E$10+1,1))-AVERAGE(OFFSET($H$3,0,0,'Données projet'!$E$10+1,1))</f>
        <v>170.79567854714986</v>
      </c>
      <c r="AO25" s="60">
        <f t="shared" si="36"/>
        <v>155.92788004111191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8.6</v>
      </c>
      <c r="BD25" s="13">
        <f>IF('Données projet'!$A$88&gt;35,BD24+BC25-BL24,IF(A25&lt;'Données projet'!$A$88,$BA$205^A25,IF(A25='Données projet'!$A$88,'Données projet'!$B$88,BD24+BC25-BL24)))</f>
        <v>76.199999999999989</v>
      </c>
      <c r="BE25" s="14">
        <f>BD25*VLOOKUP('Données projet'!$B$11,Paramètres!$A$1:$I$89,3,0)*VLOOKUP('Données projet'!$B$11,Paramètres!$A$1:$I$89,5,0)</f>
        <v>61.813439999999993</v>
      </c>
      <c r="BF25" s="14">
        <f t="shared" si="37"/>
        <v>17.625965961121132</v>
      </c>
      <c r="BG25" s="22">
        <f t="shared" si="7"/>
        <v>138.35696538228595</v>
      </c>
      <c r="BH25" s="60">
        <f t="shared" si="8"/>
        <v>421.91252093784146</v>
      </c>
      <c r="BI25" s="60">
        <f ca="1">AVERAGE(OFFSET($BH$3,0,0,'Données projet'!$E$11+1,1))-AVERAGE(OFFSET($H$3,0,0,'Données projet'!$E$11+1,1))</f>
        <v>256.19915261735281</v>
      </c>
      <c r="BJ25" s="60">
        <f t="shared" si="38"/>
        <v>297.47246687305056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6.1538461538461533</v>
      </c>
      <c r="BY25" s="13">
        <f>IF('Données projet'!$A$114&gt;35,BY24+BX25-CG24,IF(A25&lt;'Données projet'!$A$114,$BV$205^A25,IF(A25='Données projet'!$A$114,'Données projet'!$B$114,BY24+BX25-CG24)))</f>
        <v>75.769230769230774</v>
      </c>
      <c r="BZ25" s="14">
        <f>BY25*VLOOKUP('Données projet'!$B$12,Paramètres!$A$1:$I$89,3,0)*VLOOKUP('Données projet'!$B$12,Paramètres!$A$1:$I$89,5,0)</f>
        <v>72.102000000000004</v>
      </c>
      <c r="CA25" s="14">
        <f t="shared" si="39"/>
        <v>20.194556009371063</v>
      </c>
      <c r="CB25" s="22">
        <f t="shared" si="10"/>
        <v>160.74983504965459</v>
      </c>
      <c r="CC25" s="60">
        <f t="shared" si="11"/>
        <v>444.30539060521016</v>
      </c>
      <c r="CD25" s="60">
        <f ca="1">AVERAGE(OFFSET($CC$3,0,0,'Données projet'!$E$12+1,1))-AVERAGE(OFFSET($H$3,0,0,'Données projet'!$E$12+1,1))</f>
        <v>353.53401919391234</v>
      </c>
      <c r="CE25" s="60">
        <f t="shared" si="40"/>
        <v>244.7141066773861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5.6</v>
      </c>
      <c r="CT25" s="13">
        <f>IF('Données projet'!$A$140&gt;35,CT24+CS25-DB24,IF(A25&lt;'Données projet'!$A$140,$CQ$205^A25,IF(A25='Données projet'!$A$140,'Données projet'!$B$140,CT24+CS25-DB24)))</f>
        <v>53.2</v>
      </c>
      <c r="CU25" s="18">
        <f>CT25*VLOOKUP('Données projet'!$B$13,Paramètres!$A$1:$I$89,3,0)*VLOOKUP('Données projet'!$B$13,Paramètres!$A$1:$I$89,5,0)</f>
        <v>44.815680000000008</v>
      </c>
      <c r="CV25" s="14">
        <f t="shared" si="41"/>
        <v>13.266476878569183</v>
      </c>
      <c r="CW25" s="22">
        <f t="shared" si="13"/>
        <v>101.159756563508</v>
      </c>
      <c r="CX25" s="60">
        <f t="shared" si="14"/>
        <v>384.71531211906353</v>
      </c>
      <c r="CY25" s="60">
        <f ca="1">AVERAGE(OFFSET($CX$3,0,0,'Données projet'!$E$13+1,1))-AVERAGE(OFFSET($H$3,0,0,'Données projet'!$E$13+1,1))</f>
        <v>403.33327536410098</v>
      </c>
      <c r="CZ25" s="60">
        <f t="shared" si="42"/>
        <v>218.26721063098552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12.5</v>
      </c>
      <c r="DO25" s="13">
        <f>IF('Données projet'!$A$166&gt;35,DO24+DN25-DW24,IF(A25&lt;'Données projet'!$A$166,$DL$205^A25,IF(A25='Données projet'!$A$166,'Données projet'!$B$166,DO24+DN25-DW24)))</f>
        <v>120.1</v>
      </c>
      <c r="DP25" s="18">
        <f>DO25*VLOOKUP('Données projet'!$B$14,Paramètres!$A$1:$I$89,3,0)*VLOOKUP('Données projet'!$B$14,Paramètres!$A$1:$I$89,5,0)</f>
        <v>95.551559999999995</v>
      </c>
      <c r="DQ25" s="14">
        <f t="shared" si="43"/>
        <v>25.899427779946908</v>
      </c>
      <c r="DR25" s="22">
        <f t="shared" si="16"/>
        <v>211.52713705007417</v>
      </c>
      <c r="DS25" s="60">
        <f t="shared" si="17"/>
        <v>495.08269260562975</v>
      </c>
      <c r="DT25" s="60">
        <f ca="1">AVERAGE(OFFSET($DS$3,0,0,'Données projet'!$E$14+1,1))-AVERAGE(OFFSET($H$3,0,0,'Données projet'!$E$14+1,1))</f>
        <v>317.13087551964747</v>
      </c>
      <c r="DU25" s="60">
        <f t="shared" si="44"/>
        <v>293.43300041793185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10.119999999999999</v>
      </c>
      <c r="EJ25" s="13">
        <f>IF('Données projet'!$A$192&gt;35,EJ24+EI25-ER24,IF(A25&lt;'Données projet'!$A$192,$EG$205^A25,IF(A25='Données projet'!$A$192,'Données projet'!$B$192,EJ24+EI25-ER24)))</f>
        <v>76.940000000000012</v>
      </c>
      <c r="EK25" s="18">
        <f>EJ25*VLOOKUP('Données projet'!$B$15,Paramètres!$A$1:$I$89,3,0)*VLOOKUP('Données projet'!$B$15,Paramètres!$A$1:$I$89,5,0)</f>
        <v>61.213464000000009</v>
      </c>
      <c r="EL25" s="14">
        <f t="shared" si="45"/>
        <v>17.474712349162193</v>
      </c>
      <c r="EM25" s="22">
        <f t="shared" si="19"/>
        <v>137.04857380812416</v>
      </c>
      <c r="EN25" s="60">
        <f t="shared" si="20"/>
        <v>420.6041293636797</v>
      </c>
      <c r="EO25" s="60">
        <f ca="1">AVERAGE(OFFSET($EN$3,0,0,'Données projet'!$E$15+1,1))-AVERAGE(OFFSET($H$3,0,0,'Données projet'!$E$15+1,1))</f>
        <v>253.03289960511904</v>
      </c>
      <c r="EP25" s="60">
        <f t="shared" si="46"/>
        <v>236.85088713056018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10.119999999999999</v>
      </c>
      <c r="FE25" s="13">
        <f>IF('Données projet'!$A$218&gt;35,FE24+FD25-FM24,IF(A25&lt;'Données projet'!$A$218,$FB$205^A25,IF(A25='Données projet'!$A$218,'Données projet'!$B$218,FE24+FD25-FM24)))</f>
        <v>76.940000000000012</v>
      </c>
      <c r="FF25" s="18">
        <f>FE25*VLOOKUP('Données projet'!$B$16,Paramètres!$A$1:$I$89,3,0)*VLOOKUP('Données projet'!$B$16,Paramètres!$A$1:$I$89,5,0)</f>
        <v>67.214784000000023</v>
      </c>
      <c r="FG25" s="14">
        <f t="shared" si="47"/>
        <v>18.980164347676503</v>
      </c>
      <c r="FH25" s="22">
        <f t="shared" si="22"/>
        <v>150.12286837220327</v>
      </c>
      <c r="FI25" s="60">
        <f t="shared" si="23"/>
        <v>433.67842392775879</v>
      </c>
      <c r="FJ25" s="60">
        <f ca="1">AVERAGE(OFFSET($FI$3,0,0,'Données projet'!$E$16+1,1))-AVERAGE(OFFSET($H$3,0,0,'Données projet'!$E$16+1,1))</f>
        <v>274.38315511766132</v>
      </c>
      <c r="FK25" s="60">
        <f t="shared" si="48"/>
        <v>255.96663040027175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10.166666666666666</v>
      </c>
      <c r="FZ25" s="13">
        <f>IF('Données projet'!$A$244&gt;35,FZ24+FY25-GH24,IF(A25&lt;'Données projet'!$A$244,$FW$205^A25,IF(A25='Données projet'!$A$244,'Données projet'!$B$244,FZ24+FY25-GH24)))</f>
        <v>26.166666666666664</v>
      </c>
      <c r="GA25" s="18">
        <f>FZ25*VLOOKUP('Données projet'!$B$17,Paramètres!$A$1:$I$89,3,0)*VLOOKUP('Données projet'!$B$17,Paramètres!$A$1:$I$89,5,0)</f>
        <v>22.451000000000001</v>
      </c>
      <c r="GB25" s="14">
        <f t="shared" si="49"/>
        <v>7.2028425332472539</v>
      </c>
      <c r="GC25" s="22">
        <f t="shared" si="25"/>
        <v>51.647109078738964</v>
      </c>
      <c r="GD25" s="60">
        <f t="shared" si="26"/>
        <v>335.20266463429448</v>
      </c>
      <c r="GE25" s="60">
        <f ca="1">AVERAGE(OFFSET($GD$3,0,0,'Données projet'!$E$17+1,1))-AVERAGE(OFFSET($H$3,0,0,'Données projet'!$E$17+1,1))</f>
        <v>445.81166342116865</v>
      </c>
      <c r="GF25" s="60">
        <f t="shared" si="50"/>
        <v>230.82970731138215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10.6</v>
      </c>
      <c r="GU25" s="13">
        <f>IF('Données projet'!$A$270&gt;35,GU24+GT25-HC24,IF(A25&lt;'Données projet'!$A$270,$GR$205^A25,IF(A25='Données projet'!$A$270,'Données projet'!$B$270,GU24+GT25-HC24)))</f>
        <v>81.199999999999974</v>
      </c>
      <c r="GV25" s="18">
        <f>GU25*VLOOKUP('Données projet'!$B$18,Paramètres!$A$1:$I$89,3,0)*VLOOKUP('Données projet'!$B$18,Paramètres!$A$1:$I$89,5,0)</f>
        <v>63.335999999999984</v>
      </c>
      <c r="GW25" s="14">
        <f t="shared" si="51"/>
        <v>18.009040022946227</v>
      </c>
      <c r="GX25" s="22">
        <f t="shared" si="28"/>
        <v>141.67594470663133</v>
      </c>
      <c r="GY25" s="60">
        <f t="shared" si="29"/>
        <v>425.23150026218684</v>
      </c>
      <c r="GZ25" s="60">
        <f ca="1">AVERAGE(OFFSET($GY$3,0,0,'Données projet'!$E$18+1,1))-AVERAGE(OFFSET($H$3,0,0,'Données projet'!$E$18+1,1))</f>
        <v>289.19475369871481</v>
      </c>
      <c r="HA25" s="60">
        <f t="shared" si="52"/>
        <v>283.48738729114024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projet'!$B$18,Paramètres!$A$1:$I$89,3,0)*0.475*44/12</f>
        <v>0</v>
      </c>
      <c r="HH25" s="23">
        <f>EXP(-LN(2)/25)*HH24+(1-EXP(-LN(2)/25))/(LN(2)/25)*Calculateur!HC25*Calculateur!HE25*VLOOKUP('Données projet'!$B$18,Paramètres!$A$1:$I$89,3,0)*0.475*44/12</f>
        <v>0</v>
      </c>
      <c r="HI25" s="23">
        <f>EXP(-LN(2)/2)*HI24+(1-EXP(-LN(2)/2))/(LN(2)/2)*HC25*HF25*VLOOKUP('Données projet'!$B$18,Paramètres!$A$1:$I$89,3,0)*0.475*44/12</f>
        <v>0</v>
      </c>
      <c r="HJ25" s="24">
        <f t="shared" si="30"/>
        <v>0</v>
      </c>
    </row>
    <row r="26" spans="1:218" s="5" customFormat="1" x14ac:dyDescent="0.3">
      <c r="A26" s="11">
        <f t="shared" si="31"/>
        <v>23</v>
      </c>
      <c r="B26" s="75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8">
        <f t="shared" si="1"/>
        <v>256.66666666666669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56.87136000000001</v>
      </c>
      <c r="P26" s="14">
        <f t="shared" si="33"/>
        <v>16.374802181791551</v>
      </c>
      <c r="Q26" s="22">
        <f t="shared" si="2"/>
        <v>127.57039913328697</v>
      </c>
      <c r="R26" s="60">
        <f t="shared" si="0"/>
        <v>412.34817691106474</v>
      </c>
      <c r="S26" s="60">
        <f ca="1">AVERAGE(OFFSET($R$3,0,0,'Données projet'!$E$9+1,1))-AVERAGE(OFFSET($H$3,0,0,'Données projet'!$E$9+1,1))</f>
        <v>456.86147223520601</v>
      </c>
      <c r="T26" s="60">
        <f t="shared" si="34"/>
        <v>244.45149244446094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2.44</v>
      </c>
      <c r="AI26" s="14">
        <f>IF('Données projet'!$A$62&gt;35,AI25+AH26-AQ25,IF(A26&lt;'Données projet'!$A$62,$AF$205^A26,IF(A26='Données projet'!$A$62,'Données projet'!$B$62,AI25+AH26-AQ25)))</f>
        <v>43.903935151031192</v>
      </c>
      <c r="AJ26" s="14">
        <f>AI26*VLOOKUP('Données projet'!$B$10,Paramètres!$A$1:$I$89,3,0)*VLOOKUP('Données projet'!$B$10,Paramètres!$A$1:$I$89,5,0)</f>
        <v>28.765858310955636</v>
      </c>
      <c r="AK26" s="14">
        <f t="shared" si="35"/>
        <v>8.9663581000665751</v>
      </c>
      <c r="AL26" s="22">
        <f t="shared" si="4"/>
        <v>65.716943582530334</v>
      </c>
      <c r="AM26" s="60">
        <f t="shared" si="5"/>
        <v>350.49472136030812</v>
      </c>
      <c r="AN26" s="60">
        <f ca="1">AVERAGE(OFFSET($AM$3,0,0,'Données projet'!$E$10+1,1))-AVERAGE(OFFSET($H$3,0,0,'Données projet'!$E$10+1,1))</f>
        <v>170.79567854714986</v>
      </c>
      <c r="AO26" s="60">
        <f t="shared" si="36"/>
        <v>155.92788004111191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8.6</v>
      </c>
      <c r="BD26" s="13">
        <f>IF('Données projet'!$A$88&gt;35,BD25+BC26-BL25,IF(A26&lt;'Données projet'!$A$88,$BA$205^A26,IF(A26='Données projet'!$A$88,'Données projet'!$B$88,BD25+BC26-BL25)))</f>
        <v>84.799999999999983</v>
      </c>
      <c r="BE26" s="14">
        <f>BD26*VLOOKUP('Données projet'!$B$11,Paramètres!$A$1:$I$89,3,0)*VLOOKUP('Données projet'!$B$11,Paramètres!$A$1:$I$89,5,0)</f>
        <v>68.789759999999987</v>
      </c>
      <c r="BF26" s="14">
        <f t="shared" si="37"/>
        <v>19.372607944380292</v>
      </c>
      <c r="BG26" s="22">
        <f t="shared" si="7"/>
        <v>153.54945750312899</v>
      </c>
      <c r="BH26" s="60">
        <f t="shared" si="8"/>
        <v>438.32723528090673</v>
      </c>
      <c r="BI26" s="60">
        <f ca="1">AVERAGE(OFFSET($BH$3,0,0,'Données projet'!$E$11+1,1))-AVERAGE(OFFSET($H$3,0,0,'Données projet'!$E$11+1,1))</f>
        <v>256.19915261735281</v>
      </c>
      <c r="BJ26" s="60">
        <f t="shared" si="38"/>
        <v>297.47246687305056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6.1538461538461533</v>
      </c>
      <c r="BY26" s="13">
        <f>IF('Données projet'!$A$114&gt;35,BY25+BX26-CG25,IF(A26&lt;'Données projet'!$A$114,$BV$205^A26,IF(A26='Données projet'!$A$114,'Données projet'!$B$114,BY25+BX26-CG25)))</f>
        <v>81.923076923076934</v>
      </c>
      <c r="BZ26" s="14">
        <f>BY26*VLOOKUP('Données projet'!$B$12,Paramètres!$A$1:$I$89,3,0)*VLOOKUP('Données projet'!$B$12,Paramètres!$A$1:$I$89,5,0)</f>
        <v>77.958000000000013</v>
      </c>
      <c r="CA26" s="14">
        <f t="shared" si="39"/>
        <v>21.637155663637412</v>
      </c>
      <c r="CB26" s="22">
        <f t="shared" si="10"/>
        <v>173.46156278083515</v>
      </c>
      <c r="CC26" s="60">
        <f t="shared" si="11"/>
        <v>458.23934055861292</v>
      </c>
      <c r="CD26" s="60">
        <f ca="1">AVERAGE(OFFSET($CC$3,0,0,'Données projet'!$E$12+1,1))-AVERAGE(OFFSET($H$3,0,0,'Données projet'!$E$12+1,1))</f>
        <v>353.53401919391234</v>
      </c>
      <c r="CE26" s="60">
        <f t="shared" si="40"/>
        <v>244.7141066773861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5.6</v>
      </c>
      <c r="CT26" s="13">
        <f>IF('Données projet'!$A$140&gt;35,CT25+CS26-DB25,IF(A26&lt;'Données projet'!$A$140,$CQ$205^A26,IF(A26='Données projet'!$A$140,'Données projet'!$B$140,CT25+CS26-DB25)))</f>
        <v>58.800000000000004</v>
      </c>
      <c r="CU26" s="18">
        <f>CT26*VLOOKUP('Données projet'!$B$13,Paramètres!$A$1:$I$89,3,0)*VLOOKUP('Données projet'!$B$13,Paramètres!$A$1:$I$89,5,0)</f>
        <v>49.533120000000011</v>
      </c>
      <c r="CV26" s="14">
        <f t="shared" si="41"/>
        <v>14.493120113047395</v>
      </c>
      <c r="CW26" s="22">
        <f t="shared" si="13"/>
        <v>111.5123681968909</v>
      </c>
      <c r="CX26" s="60">
        <f t="shared" si="14"/>
        <v>396.29014597466869</v>
      </c>
      <c r="CY26" s="60">
        <f ca="1">AVERAGE(OFFSET($CX$3,0,0,'Données projet'!$E$13+1,1))-AVERAGE(OFFSET($H$3,0,0,'Données projet'!$E$13+1,1))</f>
        <v>403.33327536410098</v>
      </c>
      <c r="CZ26" s="60">
        <f t="shared" si="42"/>
        <v>218.26721063098552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12.5</v>
      </c>
      <c r="DO26" s="13">
        <f>IF('Données projet'!$A$166&gt;35,DO25+DN26-DW25,IF(A26&lt;'Données projet'!$A$166,$DL$205^A26,IF(A26='Données projet'!$A$166,'Données projet'!$B$166,DO25+DN26-DW25)))</f>
        <v>132.6</v>
      </c>
      <c r="DP26" s="18">
        <f>DO26*VLOOKUP('Données projet'!$B$14,Paramètres!$A$1:$I$89,3,0)*VLOOKUP('Données projet'!$B$14,Paramètres!$A$1:$I$89,5,0)</f>
        <v>105.49656000000002</v>
      </c>
      <c r="DQ26" s="14">
        <f t="shared" si="43"/>
        <v>28.267371424916934</v>
      </c>
      <c r="DR26" s="22">
        <f t="shared" si="16"/>
        <v>232.9721805650637</v>
      </c>
      <c r="DS26" s="60">
        <f t="shared" si="17"/>
        <v>517.74995834284141</v>
      </c>
      <c r="DT26" s="60">
        <f ca="1">AVERAGE(OFFSET($DS$3,0,0,'Données projet'!$E$14+1,1))-AVERAGE(OFFSET($H$3,0,0,'Données projet'!$E$14+1,1))</f>
        <v>317.13087551964747</v>
      </c>
      <c r="DU26" s="60">
        <f t="shared" si="44"/>
        <v>293.43300041793185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10.119999999999999</v>
      </c>
      <c r="EJ26" s="13">
        <f>IF('Données projet'!$A$192&gt;35,EJ25+EI26-ER25,IF(A26&lt;'Données projet'!$A$192,$EG$205^A26,IF(A26='Données projet'!$A$192,'Données projet'!$B$192,EJ25+EI26-ER25)))</f>
        <v>87.060000000000016</v>
      </c>
      <c r="EK26" s="18">
        <f>EJ26*VLOOKUP('Données projet'!$B$15,Paramètres!$A$1:$I$89,3,0)*VLOOKUP('Données projet'!$B$15,Paramètres!$A$1:$I$89,5,0)</f>
        <v>69.26493600000002</v>
      </c>
      <c r="EL26" s="14">
        <f t="shared" si="45"/>
        <v>19.490803273565174</v>
      </c>
      <c r="EM26" s="22">
        <f t="shared" si="19"/>
        <v>154.58291256812603</v>
      </c>
      <c r="EN26" s="60">
        <f t="shared" si="20"/>
        <v>439.36069034590378</v>
      </c>
      <c r="EO26" s="60">
        <f ca="1">AVERAGE(OFFSET($EN$3,0,0,'Données projet'!$E$15+1,1))-AVERAGE(OFFSET($H$3,0,0,'Données projet'!$E$15+1,1))</f>
        <v>253.03289960511904</v>
      </c>
      <c r="EP26" s="60">
        <f t="shared" si="46"/>
        <v>236.85088713056018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10.119999999999999</v>
      </c>
      <c r="FE26" s="13">
        <f>IF('Données projet'!$A$218&gt;35,FE25+FD26-FM25,IF(A26&lt;'Données projet'!$A$218,$FB$205^A26,IF(A26='Données projet'!$A$218,'Données projet'!$B$218,FE25+FD26-FM25)))</f>
        <v>87.060000000000016</v>
      </c>
      <c r="FF26" s="18">
        <f>FE26*VLOOKUP('Données projet'!$B$16,Paramètres!$A$1:$I$89,3,0)*VLOOKUP('Données projet'!$B$16,Paramètres!$A$1:$I$89,5,0)</f>
        <v>76.055616000000029</v>
      </c>
      <c r="FG26" s="14">
        <f t="shared" si="47"/>
        <v>21.169942143181231</v>
      </c>
      <c r="FH26" s="22">
        <f t="shared" si="22"/>
        <v>169.33451376604069</v>
      </c>
      <c r="FI26" s="60">
        <f t="shared" si="23"/>
        <v>454.11229154381846</v>
      </c>
      <c r="FJ26" s="60">
        <f ca="1">AVERAGE(OFFSET($FI$3,0,0,'Données projet'!$E$16+1,1))-AVERAGE(OFFSET($H$3,0,0,'Données projet'!$E$16+1,1))</f>
        <v>274.38315511766132</v>
      </c>
      <c r="FK26" s="60">
        <f t="shared" si="48"/>
        <v>255.96663040027175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10.166666666666666</v>
      </c>
      <c r="FZ26" s="13">
        <f>IF('Données projet'!$A$244&gt;35,FZ25+FY26-GH25,IF(A26&lt;'Données projet'!$A$244,$FW$205^A26,IF(A26='Données projet'!$A$244,'Données projet'!$B$244,FZ25+FY26-GH25)))</f>
        <v>36.333333333333329</v>
      </c>
      <c r="GA26" s="18">
        <f>FZ26*VLOOKUP('Données projet'!$B$17,Paramètres!$A$1:$I$89,3,0)*VLOOKUP('Données projet'!$B$17,Paramètres!$A$1:$I$89,5,0)</f>
        <v>31.173999999999996</v>
      </c>
      <c r="GB26" s="14">
        <f t="shared" si="49"/>
        <v>9.6264718529466755</v>
      </c>
      <c r="GC26" s="22">
        <f t="shared" si="25"/>
        <v>71.060821810548774</v>
      </c>
      <c r="GD26" s="60">
        <f t="shared" si="26"/>
        <v>355.83859958832653</v>
      </c>
      <c r="GE26" s="60">
        <f ca="1">AVERAGE(OFFSET($GD$3,0,0,'Données projet'!$E$17+1,1))-AVERAGE(OFFSET($H$3,0,0,'Données projet'!$E$17+1,1))</f>
        <v>445.81166342116865</v>
      </c>
      <c r="GF26" s="60">
        <f t="shared" si="50"/>
        <v>230.82970731138215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10.6</v>
      </c>
      <c r="GU26" s="13">
        <f>IF('Données projet'!$A$270&gt;35,GU25+GT26-HC25,IF(A26&lt;'Données projet'!$A$270,$GR$205^A26,IF(A26='Données projet'!$A$270,'Données projet'!$B$270,GU25+GT26-HC25)))</f>
        <v>91.799999999999969</v>
      </c>
      <c r="GV26" s="18">
        <f>GU26*VLOOKUP('Données projet'!$B$18,Paramètres!$A$1:$I$89,3,0)*VLOOKUP('Données projet'!$B$18,Paramètres!$A$1:$I$89,5,0)</f>
        <v>71.603999999999985</v>
      </c>
      <c r="GW26" s="14">
        <f t="shared" si="51"/>
        <v>20.071260561992585</v>
      </c>
      <c r="GX26" s="22">
        <f t="shared" si="28"/>
        <v>159.66774547880371</v>
      </c>
      <c r="GY26" s="60">
        <f t="shared" si="29"/>
        <v>444.44552325658151</v>
      </c>
      <c r="GZ26" s="60">
        <f ca="1">AVERAGE(OFFSET($GY$3,0,0,'Données projet'!$E$18+1,1))-AVERAGE(OFFSET($H$3,0,0,'Données projet'!$E$18+1,1))</f>
        <v>289.19475369871481</v>
      </c>
      <c r="HA26" s="60">
        <f t="shared" si="52"/>
        <v>283.48738729114024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projet'!$B$18,Paramètres!$A$1:$I$89,3,0)*0.475*44/12</f>
        <v>0</v>
      </c>
      <c r="HH26" s="23">
        <f>EXP(-LN(2)/25)*HH25+(1-EXP(-LN(2)/25))/(LN(2)/25)*Calculateur!HC26*Calculateur!HE26*VLOOKUP('Données projet'!$B$18,Paramètres!$A$1:$I$89,3,0)*0.475*44/12</f>
        <v>0</v>
      </c>
      <c r="HI26" s="23">
        <f>EXP(-LN(2)/2)*HI25+(1-EXP(-LN(2)/2))/(LN(2)/2)*HC26*HF26*VLOOKUP('Données projet'!$B$18,Paramètres!$A$1:$I$89,3,0)*0.475*44/12</f>
        <v>0</v>
      </c>
      <c r="HJ26" s="24">
        <f t="shared" si="30"/>
        <v>0</v>
      </c>
    </row>
    <row r="27" spans="1:218" s="5" customFormat="1" x14ac:dyDescent="0.3">
      <c r="A27" s="11">
        <f t="shared" si="31"/>
        <v>24</v>
      </c>
      <c r="B27" s="75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8">
        <f t="shared" si="1"/>
        <v>256.66666666666669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62.287680000000009</v>
      </c>
      <c r="P27" s="14">
        <f t="shared" si="33"/>
        <v>17.745400652396182</v>
      </c>
      <c r="Q27" s="22">
        <f t="shared" si="2"/>
        <v>139.39094880292336</v>
      </c>
      <c r="R27" s="60">
        <f t="shared" si="0"/>
        <v>425.39094880292339</v>
      </c>
      <c r="S27" s="60">
        <f ca="1">AVERAGE(OFFSET($R$3,0,0,'Données projet'!$E$9+1,1))-AVERAGE(OFFSET($H$3,0,0,'Données projet'!$E$9+1,1))</f>
        <v>456.86147223520601</v>
      </c>
      <c r="T27" s="60">
        <f t="shared" si="34"/>
        <v>244.45149244446094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2.44</v>
      </c>
      <c r="AI27" s="14">
        <f>IF('Données projet'!$A$62&gt;35,AI26+AH27-AQ26,IF(A27&lt;'Données projet'!$A$62,$AF$205^A27,IF(A27='Données projet'!$A$62,'Données projet'!$B$62,AI26+AH27-AQ26)))</f>
        <v>51.750749214024943</v>
      </c>
      <c r="AJ27" s="14">
        <f>AI27*VLOOKUP('Données projet'!$B$10,Paramètres!$A$1:$I$89,3,0)*VLOOKUP('Données projet'!$B$10,Paramètres!$A$1:$I$89,5,0)</f>
        <v>33.907090885029142</v>
      </c>
      <c r="AK27" s="14">
        <f t="shared" si="35"/>
        <v>10.368520185572619</v>
      </c>
      <c r="AL27" s="22">
        <f t="shared" si="4"/>
        <v>77.113355947964735</v>
      </c>
      <c r="AM27" s="60">
        <f t="shared" si="5"/>
        <v>363.11335594796475</v>
      </c>
      <c r="AN27" s="60">
        <f ca="1">AVERAGE(OFFSET($AM$3,0,0,'Données projet'!$E$10+1,1))-AVERAGE(OFFSET($H$3,0,0,'Données projet'!$E$10+1,1))</f>
        <v>170.79567854714986</v>
      </c>
      <c r="AO27" s="60">
        <f t="shared" si="36"/>
        <v>155.92788004111191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8.6</v>
      </c>
      <c r="BD27" s="13">
        <f>IF('Données projet'!$A$88&gt;35,BD26+BC27-BL26,IF(A27&lt;'Données projet'!$A$88,$BA$205^A27,IF(A27='Données projet'!$A$88,'Données projet'!$B$88,BD26+BC27-BL26)))</f>
        <v>93.399999999999977</v>
      </c>
      <c r="BE27" s="14">
        <f>BD27*VLOOKUP('Données projet'!$B$11,Paramètres!$A$1:$I$89,3,0)*VLOOKUP('Données projet'!$B$11,Paramètres!$A$1:$I$89,5,0)</f>
        <v>75.766079999999988</v>
      </c>
      <c r="BF27" s="14">
        <f t="shared" si="37"/>
        <v>21.09871541273251</v>
      </c>
      <c r="BG27" s="22">
        <f t="shared" si="7"/>
        <v>168.70618534384241</v>
      </c>
      <c r="BH27" s="60">
        <f t="shared" si="8"/>
        <v>454.70618534384244</v>
      </c>
      <c r="BI27" s="60">
        <f ca="1">AVERAGE(OFFSET($BH$3,0,0,'Données projet'!$E$11+1,1))-AVERAGE(OFFSET($H$3,0,0,'Données projet'!$E$11+1,1))</f>
        <v>256.19915261735281</v>
      </c>
      <c r="BJ27" s="60">
        <f t="shared" si="38"/>
        <v>297.47246687305056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6.1538461538461533</v>
      </c>
      <c r="BY27" s="13">
        <f>IF('Données projet'!$A$114&gt;35,BY26+BX27-CG26,IF(A27&lt;'Données projet'!$A$114,$BV$205^A27,IF(A27='Données projet'!$A$114,'Données projet'!$B$114,BY26+BX27-CG26)))</f>
        <v>88.076923076923094</v>
      </c>
      <c r="BZ27" s="14">
        <f>BY27*VLOOKUP('Données projet'!$B$12,Paramètres!$A$1:$I$89,3,0)*VLOOKUP('Données projet'!$B$12,Paramètres!$A$1:$I$89,5,0)</f>
        <v>83.814000000000021</v>
      </c>
      <c r="CA27" s="14">
        <f t="shared" si="39"/>
        <v>23.067184225497325</v>
      </c>
      <c r="CB27" s="22">
        <f t="shared" si="10"/>
        <v>186.1513958594079</v>
      </c>
      <c r="CC27" s="60">
        <f t="shared" si="11"/>
        <v>472.1513958594079</v>
      </c>
      <c r="CD27" s="60">
        <f ca="1">AVERAGE(OFFSET($CC$3,0,0,'Données projet'!$E$12+1,1))-AVERAGE(OFFSET($H$3,0,0,'Données projet'!$E$12+1,1))</f>
        <v>353.53401919391234</v>
      </c>
      <c r="CE27" s="60">
        <f t="shared" si="40"/>
        <v>244.7141066773861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5.6</v>
      </c>
      <c r="CT27" s="13">
        <f>IF('Données projet'!$A$140&gt;35,CT26+CS27-DB26,IF(A27&lt;'Données projet'!$A$140,$CQ$205^A27,IF(A27='Données projet'!$A$140,'Données projet'!$B$140,CT26+CS27-DB26)))</f>
        <v>64.400000000000006</v>
      </c>
      <c r="CU27" s="18">
        <f>CT27*VLOOKUP('Données projet'!$B$13,Paramètres!$A$1:$I$89,3,0)*VLOOKUP('Données projet'!$B$13,Paramètres!$A$1:$I$89,5,0)</f>
        <v>54.250560000000007</v>
      </c>
      <c r="CV27" s="14">
        <f t="shared" si="41"/>
        <v>15.706218631166928</v>
      </c>
      <c r="CW27" s="22">
        <f t="shared" si="13"/>
        <v>121.84138944928242</v>
      </c>
      <c r="CX27" s="60">
        <f t="shared" si="14"/>
        <v>407.84138944928242</v>
      </c>
      <c r="CY27" s="60">
        <f ca="1">AVERAGE(OFFSET($CX$3,0,0,'Données projet'!$E$13+1,1))-AVERAGE(OFFSET($H$3,0,0,'Données projet'!$E$13+1,1))</f>
        <v>403.33327536410098</v>
      </c>
      <c r="CZ27" s="60">
        <f t="shared" si="42"/>
        <v>218.26721063098552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12.5</v>
      </c>
      <c r="DO27" s="13">
        <f>IF('Données projet'!$A$166&gt;35,DO26+DN27-DW26,IF(A27&lt;'Données projet'!$A$166,$DL$205^A27,IF(A27='Données projet'!$A$166,'Données projet'!$B$166,DO26+DN27-DW26)))</f>
        <v>145.1</v>
      </c>
      <c r="DP27" s="18">
        <f>DO27*VLOOKUP('Données projet'!$B$14,Paramètres!$A$1:$I$89,3,0)*VLOOKUP('Données projet'!$B$14,Paramètres!$A$1:$I$89,5,0)</f>
        <v>115.44156000000001</v>
      </c>
      <c r="DQ27" s="14">
        <f t="shared" si="43"/>
        <v>30.609433583241273</v>
      </c>
      <c r="DR27" s="22">
        <f t="shared" si="16"/>
        <v>254.37214715747857</v>
      </c>
      <c r="DS27" s="60">
        <f t="shared" si="17"/>
        <v>540.37214715747859</v>
      </c>
      <c r="DT27" s="60">
        <f ca="1">AVERAGE(OFFSET($DS$3,0,0,'Données projet'!$E$14+1,1))-AVERAGE(OFFSET($H$3,0,0,'Données projet'!$E$14+1,1))</f>
        <v>317.13087551964747</v>
      </c>
      <c r="DU27" s="60">
        <f t="shared" si="44"/>
        <v>293.43300041793185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10.119999999999999</v>
      </c>
      <c r="EJ27" s="13">
        <f>IF('Données projet'!$A$192&gt;35,EJ26+EI27-ER26,IF(A27&lt;'Données projet'!$A$192,$EG$205^A27,IF(A27='Données projet'!$A$192,'Données projet'!$B$192,EJ26+EI27-ER26)))</f>
        <v>97.180000000000021</v>
      </c>
      <c r="EK27" s="18">
        <f>EJ27*VLOOKUP('Données projet'!$B$15,Paramètres!$A$1:$I$89,3,0)*VLOOKUP('Données projet'!$B$15,Paramètres!$A$1:$I$89,5,0)</f>
        <v>77.316408000000024</v>
      </c>
      <c r="EL27" s="14">
        <f t="shared" si="45"/>
        <v>21.479734637865896</v>
      </c>
      <c r="EM27" s="22">
        <f t="shared" si="19"/>
        <v>172.06994842761648</v>
      </c>
      <c r="EN27" s="60">
        <f t="shared" si="20"/>
        <v>458.06994842761651</v>
      </c>
      <c r="EO27" s="60">
        <f ca="1">AVERAGE(OFFSET($EN$3,0,0,'Données projet'!$E$15+1,1))-AVERAGE(OFFSET($H$3,0,0,'Données projet'!$E$15+1,1))</f>
        <v>253.03289960511904</v>
      </c>
      <c r="EP27" s="60">
        <f t="shared" si="46"/>
        <v>236.85088713056018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10.119999999999999</v>
      </c>
      <c r="FE27" s="13">
        <f>IF('Données projet'!$A$218&gt;35,FE26+FD27-FM26,IF(A27&lt;'Données projet'!$A$218,$FB$205^A27,IF(A27='Données projet'!$A$218,'Données projet'!$B$218,FE26+FD27-FM26)))</f>
        <v>97.180000000000021</v>
      </c>
      <c r="FF27" s="18">
        <f>FE27*VLOOKUP('Données projet'!$B$16,Paramètres!$A$1:$I$89,3,0)*VLOOKUP('Données projet'!$B$16,Paramètres!$A$1:$I$89,5,0)</f>
        <v>84.896448000000021</v>
      </c>
      <c r="FG27" s="14">
        <f t="shared" si="47"/>
        <v>23.330220573886617</v>
      </c>
      <c r="FH27" s="22">
        <f t="shared" si="22"/>
        <v>188.4947810995192</v>
      </c>
      <c r="FI27" s="60">
        <f t="shared" si="23"/>
        <v>474.49478109951917</v>
      </c>
      <c r="FJ27" s="60">
        <f ca="1">AVERAGE(OFFSET($FI$3,0,0,'Données projet'!$E$16+1,1))-AVERAGE(OFFSET($H$3,0,0,'Données projet'!$E$16+1,1))</f>
        <v>274.38315511766132</v>
      </c>
      <c r="FK27" s="60">
        <f t="shared" si="48"/>
        <v>255.96663040027175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10.166666666666666</v>
      </c>
      <c r="FZ27" s="13">
        <f>IF('Données projet'!$A$244&gt;35,FZ26+FY27-GH26,IF(A27&lt;'Données projet'!$A$244,$FW$205^A27,IF(A27='Données projet'!$A$244,'Données projet'!$B$244,FZ26+FY27-GH26)))</f>
        <v>46.499999999999993</v>
      </c>
      <c r="GA27" s="18">
        <f>FZ27*VLOOKUP('Données projet'!$B$17,Paramètres!$A$1:$I$89,3,0)*VLOOKUP('Données projet'!$B$17,Paramètres!$A$1:$I$89,5,0)</f>
        <v>39.896999999999998</v>
      </c>
      <c r="GB27" s="14">
        <f t="shared" si="49"/>
        <v>11.971342650084589</v>
      </c>
      <c r="GC27" s="22">
        <f t="shared" si="25"/>
        <v>90.337363448897307</v>
      </c>
      <c r="GD27" s="60">
        <f t="shared" si="26"/>
        <v>376.33736344889729</v>
      </c>
      <c r="GE27" s="60">
        <f ca="1">AVERAGE(OFFSET($GD$3,0,0,'Données projet'!$E$17+1,1))-AVERAGE(OFFSET($H$3,0,0,'Données projet'!$E$17+1,1))</f>
        <v>445.81166342116865</v>
      </c>
      <c r="GF27" s="60">
        <f t="shared" si="50"/>
        <v>230.82970731138215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10.6</v>
      </c>
      <c r="GU27" s="13">
        <f>IF('Données projet'!$A$270&gt;35,GU26+GT27-HC26,IF(A27&lt;'Données projet'!$A$270,$GR$205^A27,IF(A27='Données projet'!$A$270,'Données projet'!$B$270,GU26+GT27-HC26)))</f>
        <v>102.39999999999996</v>
      </c>
      <c r="GV27" s="18">
        <f>GU27*VLOOKUP('Données projet'!$B$18,Paramètres!$A$1:$I$89,3,0)*VLOOKUP('Données projet'!$B$18,Paramètres!$A$1:$I$89,5,0)</f>
        <v>79.871999999999971</v>
      </c>
      <c r="GW27" s="14">
        <f t="shared" si="51"/>
        <v>22.105884547145401</v>
      </c>
      <c r="GX27" s="22">
        <f t="shared" si="28"/>
        <v>177.61148225294485</v>
      </c>
      <c r="GY27" s="60">
        <f t="shared" si="29"/>
        <v>463.61148225294482</v>
      </c>
      <c r="GZ27" s="60">
        <f ca="1">AVERAGE(OFFSET($GY$3,0,0,'Données projet'!$E$18+1,1))-AVERAGE(OFFSET($H$3,0,0,'Données projet'!$E$18+1,1))</f>
        <v>289.19475369871481</v>
      </c>
      <c r="HA27" s="60">
        <f t="shared" si="52"/>
        <v>283.48738729114024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projet'!$B$18,Paramètres!$A$1:$I$89,3,0)*0.475*44/12</f>
        <v>0</v>
      </c>
      <c r="HH27" s="23">
        <f>EXP(-LN(2)/25)*HH26+(1-EXP(-LN(2)/25))/(LN(2)/25)*Calculateur!HC27*Calculateur!HE27*VLOOKUP('Données projet'!$B$18,Paramètres!$A$1:$I$89,3,0)*0.475*44/12</f>
        <v>0</v>
      </c>
      <c r="HI27" s="23">
        <f>EXP(-LN(2)/2)*HI26+(1-EXP(-LN(2)/2))/(LN(2)/2)*HC27*HF27*VLOOKUP('Données projet'!$B$18,Paramètres!$A$1:$I$89,3,0)*0.475*44/12</f>
        <v>0</v>
      </c>
      <c r="HJ27" s="24">
        <f t="shared" si="30"/>
        <v>0</v>
      </c>
    </row>
    <row r="28" spans="1:218" s="5" customFormat="1" x14ac:dyDescent="0.3">
      <c r="A28" s="11">
        <f t="shared" si="31"/>
        <v>25</v>
      </c>
      <c r="B28" s="75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8">
        <f t="shared" si="1"/>
        <v>256.66666666666669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67.703999999999994</v>
      </c>
      <c r="P28" s="14">
        <f t="shared" si="33"/>
        <v>19.102177882771514</v>
      </c>
      <c r="Q28" s="22">
        <f t="shared" si="2"/>
        <v>151.18742647916039</v>
      </c>
      <c r="R28" s="60">
        <f t="shared" si="0"/>
        <v>438.40964870138259</v>
      </c>
      <c r="S28" s="60">
        <f ca="1">AVERAGE(OFFSET($R$3,0,0,'Données projet'!$E$9+1,1))-AVERAGE(OFFSET($H$3,0,0,'Données projet'!$E$9+1,1))</f>
        <v>456.86147223520601</v>
      </c>
      <c r="T28" s="60">
        <f t="shared" si="34"/>
        <v>244.45149244446094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61</v>
      </c>
      <c r="AG28" s="13">
        <f>VLOOKUP(A28,'Données projet'!$A$61:$I$81,9,0)</f>
        <v>2.44</v>
      </c>
      <c r="AH28" s="13">
        <f t="array" ref="AH28">INDEX(AG:AG,MIN(IF(ISNUMBER(AG28:AG224),ROW(AG28:AG224),"")))</f>
        <v>2.44</v>
      </c>
      <c r="AI28" s="14">
        <f>IF('Données projet'!$A$62&gt;35,AI27+AH28-AQ27,IF(A28&lt;'Données projet'!$A$62,$AF$205^A28,IF(A28='Données projet'!$A$62,'Données projet'!$B$62,AI27+AH28-AQ27)))</f>
        <v>61</v>
      </c>
      <c r="AJ28" s="14">
        <f>AI28*VLOOKUP('Données projet'!$B$10,Paramètres!$A$1:$I$89,3,0)*VLOOKUP('Données projet'!$B$10,Paramètres!$A$1:$I$89,5,0)</f>
        <v>39.967199999999998</v>
      </c>
      <c r="AK28" s="14">
        <f t="shared" si="35"/>
        <v>11.989952848060867</v>
      </c>
      <c r="AL28" s="22">
        <f t="shared" si="4"/>
        <v>90.492041210372676</v>
      </c>
      <c r="AM28" s="60">
        <f t="shared" si="5"/>
        <v>377.71426343259492</v>
      </c>
      <c r="AN28" s="60">
        <f ca="1">AVERAGE(OFFSET($AM$3,0,0,'Données projet'!$E$10+1,1))-AVERAGE(OFFSET($H$3,0,0,'Données projet'!$E$10+1,1))</f>
        <v>170.79567854714986</v>
      </c>
      <c r="AO28" s="60">
        <f t="shared" si="36"/>
        <v>155.92788004111191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102</v>
      </c>
      <c r="BB28" s="13">
        <f>VLOOKUP(A28,'Données projet'!$A$87:$I$107,9,0)</f>
        <v>8.6</v>
      </c>
      <c r="BC28" s="13">
        <f t="array" ref="BC28">INDEX(BB:BB,MIN(IF(ISNUMBER(BB28:BB224),ROW(BB28:BB224),"")))</f>
        <v>8.6</v>
      </c>
      <c r="BD28" s="13">
        <f>IF('Données projet'!$A$88&gt;35,BD27+BC28-BL27,IF(A28&lt;'Données projet'!$A$88,$BA$205^A28,IF(A28='Données projet'!$A$88,'Données projet'!$B$88,BD27+BC28-BL27)))</f>
        <v>101.99999999999997</v>
      </c>
      <c r="BE28" s="14">
        <f>BD28*VLOOKUP('Données projet'!$B$11,Paramètres!$A$1:$I$89,3,0)*VLOOKUP('Données projet'!$B$11,Paramètres!$A$1:$I$89,5,0)</f>
        <v>82.742399999999975</v>
      </c>
      <c r="BF28" s="14">
        <f t="shared" si="37"/>
        <v>22.806394174303183</v>
      </c>
      <c r="BG28" s="22">
        <f t="shared" si="7"/>
        <v>183.83081652024464</v>
      </c>
      <c r="BH28" s="60">
        <f t="shared" si="8"/>
        <v>471.05303874246687</v>
      </c>
      <c r="BI28" s="60">
        <f ca="1">AVERAGE(OFFSET($BH$3,0,0,'Données projet'!$E$11+1,1))-AVERAGE(OFFSET($H$3,0,0,'Données projet'!$E$11+1,1))</f>
        <v>256.19915261735281</v>
      </c>
      <c r="BJ28" s="60">
        <f t="shared" si="38"/>
        <v>297.47246687305056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94.230769230769226</v>
      </c>
      <c r="BW28" s="13">
        <f>VLOOKUP(A28,'Données projet'!$A$113:$I$133,9,0)</f>
        <v>6.1538461538461533</v>
      </c>
      <c r="BX28" s="13">
        <f t="array" ref="BX28">INDEX(BW:BW,MIN(IF(ISNUMBER(BW28:BW224),ROW(BW28:BW224),"")))</f>
        <v>6.1538461538461533</v>
      </c>
      <c r="BY28" s="13">
        <f>IF('Données projet'!$A$114&gt;35,BY27+BX28-CG27,IF(A28&lt;'Données projet'!$A$114,$BV$205^A28,IF(A28='Données projet'!$A$114,'Données projet'!$B$114,BY27+BX28-CG27)))</f>
        <v>94.230769230769255</v>
      </c>
      <c r="BZ28" s="14">
        <f>BY28*VLOOKUP('Données projet'!$B$12,Paramètres!$A$1:$I$89,3,0)*VLOOKUP('Données projet'!$B$12,Paramètres!$A$1:$I$89,5,0)</f>
        <v>89.67000000000003</v>
      </c>
      <c r="CA28" s="14">
        <f t="shared" si="39"/>
        <v>24.4856199329822</v>
      </c>
      <c r="CB28" s="22">
        <f t="shared" si="10"/>
        <v>198.82103804994404</v>
      </c>
      <c r="CC28" s="60">
        <f t="shared" si="11"/>
        <v>486.04326027216626</v>
      </c>
      <c r="CD28" s="60">
        <f ca="1">AVERAGE(OFFSET($CC$3,0,0,'Données projet'!$E$12+1,1))-AVERAGE(OFFSET($H$3,0,0,'Données projet'!$E$12+1,1))</f>
        <v>353.53401919391234</v>
      </c>
      <c r="CE28" s="60">
        <f t="shared" si="40"/>
        <v>244.7141066773861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26.923076923076923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70</v>
      </c>
      <c r="CR28" s="13">
        <f>VLOOKUP(A28,'Données projet'!$A$139:$I$159,9,0)</f>
        <v>5.6</v>
      </c>
      <c r="CS28" s="13">
        <f t="array" ref="CS28">INDEX(CR:CR,MIN(IF(ISNUMBER(CR28:CR224),ROW(CR28:CR224),"")))</f>
        <v>5.6</v>
      </c>
      <c r="CT28" s="13">
        <f>IF('Données projet'!$A$140&gt;35,CT27+CS28-DB27,IF(A28&lt;'Données projet'!$A$140,$CQ$205^A28,IF(A28='Données projet'!$A$140,'Données projet'!$B$140,CT27+CS28-DB27)))</f>
        <v>70</v>
      </c>
      <c r="CU28" s="18">
        <f>CT28*VLOOKUP('Données projet'!$B$13,Paramètres!$A$1:$I$89,3,0)*VLOOKUP('Données projet'!$B$13,Paramètres!$A$1:$I$89,5,0)</f>
        <v>58.968000000000011</v>
      </c>
      <c r="CV28" s="14">
        <f t="shared" si="41"/>
        <v>16.907084152971134</v>
      </c>
      <c r="CW28" s="22">
        <f t="shared" si="13"/>
        <v>132.14910489975807</v>
      </c>
      <c r="CX28" s="60">
        <f t="shared" si="14"/>
        <v>419.3713271219803</v>
      </c>
      <c r="CY28" s="60">
        <f ca="1">AVERAGE(OFFSET($CX$3,0,0,'Données projet'!$E$13+1,1))-AVERAGE(OFFSET($H$3,0,0,'Données projet'!$E$13+1,1))</f>
        <v>403.33327536410098</v>
      </c>
      <c r="CZ28" s="60">
        <f t="shared" si="42"/>
        <v>218.26721063098552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8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157.6</v>
      </c>
      <c r="DM28" s="13">
        <f>VLOOKUP(A28,'Données projet'!$A$165:$I$185,9,0)</f>
        <v>12.5</v>
      </c>
      <c r="DN28" s="13">
        <f t="array" ref="DN28">INDEX(DM:DM,MIN(IF(ISNUMBER(DM28:DM224),ROW(DM28:DM224),"")))</f>
        <v>12.5</v>
      </c>
      <c r="DO28" s="13">
        <f>IF('Données projet'!$A$166&gt;35,DO27+DN28-DW27,IF(A28&lt;'Données projet'!$A$166,$DL$205^A28,IF(A28='Données projet'!$A$166,'Données projet'!$B$166,DO27+DN28-DW27)))</f>
        <v>157.6</v>
      </c>
      <c r="DP28" s="18">
        <f>DO28*VLOOKUP('Données projet'!$B$14,Paramètres!$A$1:$I$89,3,0)*VLOOKUP('Données projet'!$B$14,Paramètres!$A$1:$I$89,5,0)</f>
        <v>125.38656000000002</v>
      </c>
      <c r="DQ28" s="14">
        <f t="shared" si="43"/>
        <v>32.928097385453526</v>
      </c>
      <c r="DR28" s="22">
        <f t="shared" si="16"/>
        <v>275.73136161299823</v>
      </c>
      <c r="DS28" s="60">
        <f t="shared" si="17"/>
        <v>562.95358383522046</v>
      </c>
      <c r="DT28" s="60">
        <f ca="1">AVERAGE(OFFSET($DS$3,0,0,'Données projet'!$E$14+1,1))-AVERAGE(OFFSET($H$3,0,0,'Données projet'!$E$14+1,1))</f>
        <v>317.13087551964747</v>
      </c>
      <c r="DU28" s="60">
        <f t="shared" si="44"/>
        <v>293.43300041793185</v>
      </c>
      <c r="DV28" s="16">
        <f>IF(ISNA(VLOOKUP(A28,'Données projet'!$A$165:$I$185,3,0)),0,VLOOKUP(A28,'Données projet'!$A$165:$I$185,3,0))</f>
        <v>1</v>
      </c>
      <c r="DW28" s="16">
        <f>IF(ISNA(VLOOKUP(A28,'Données projet'!$A$165:$I$185,4,0)),0,VLOOKUP(A28,'Données projet'!$A$165:$I$185,4,0))</f>
        <v>71.099999999999994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107.3</v>
      </c>
      <c r="EH28" s="13">
        <f>VLOOKUP(A28,'Données projet'!$A$191:$I$211,9,0)</f>
        <v>10.119999999999999</v>
      </c>
      <c r="EI28" s="13">
        <f t="array" ref="EI28">INDEX(EH:EH,MIN(IF(ISNUMBER(EH28:EH224),ROW(EH28:EH224),"")))</f>
        <v>10.119999999999999</v>
      </c>
      <c r="EJ28" s="13">
        <f>IF('Données projet'!$A$192&gt;35,EJ27+EI28-ER27,IF(A28&lt;'Données projet'!$A$192,$EG$205^A28,IF(A28='Données projet'!$A$192,'Données projet'!$B$192,EJ27+EI28-ER27)))</f>
        <v>107.30000000000003</v>
      </c>
      <c r="EK28" s="18">
        <f>EJ28*VLOOKUP('Données projet'!$B$15,Paramètres!$A$1:$I$89,3,0)*VLOOKUP('Données projet'!$B$15,Paramètres!$A$1:$I$89,5,0)</f>
        <v>85.367880000000028</v>
      </c>
      <c r="EL28" s="14">
        <f t="shared" si="45"/>
        <v>23.444656924326228</v>
      </c>
      <c r="EM28" s="22">
        <f t="shared" si="19"/>
        <v>189.51516847653488</v>
      </c>
      <c r="EN28" s="60">
        <f t="shared" si="20"/>
        <v>476.73739069875711</v>
      </c>
      <c r="EO28" s="60">
        <f ca="1">AVERAGE(OFFSET($EN$3,0,0,'Données projet'!$E$15+1,1))-AVERAGE(OFFSET($H$3,0,0,'Données projet'!$E$15+1,1))</f>
        <v>253.03289960511904</v>
      </c>
      <c r="EP28" s="60">
        <f t="shared" si="46"/>
        <v>236.85088713056018</v>
      </c>
      <c r="EQ28" s="16">
        <f>IF(ISNA(VLOOKUP(A28,'Données projet'!$A$191:$I$211,3,0)),0,VLOOKUP(A28,'Données projet'!$A$191:$I$211,3,0))</f>
        <v>1</v>
      </c>
      <c r="ER28" s="16">
        <f>IF(ISNA(VLOOKUP(A28,'Données projet'!$A$191:$I$211,4,0)),0,VLOOKUP(A28,'Données projet'!$A$191:$I$211,4,0))</f>
        <v>42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107.3</v>
      </c>
      <c r="FC28" s="13">
        <f>VLOOKUP(A28,'Données projet'!$A$217:$I$237,9,0)</f>
        <v>10.119999999999999</v>
      </c>
      <c r="FD28" s="13">
        <f t="array" ref="FD28">INDEX(FC:FC,MIN(IF(ISNUMBER(FC28:FC224),ROW(FC28:FC224),"")))</f>
        <v>10.119999999999999</v>
      </c>
      <c r="FE28" s="13">
        <f>IF('Données projet'!$A$218&gt;35,FE27+FD28-FM27,IF(A28&lt;'Données projet'!$A$218,$FB$205^A28,IF(A28='Données projet'!$A$218,'Données projet'!$B$218,FE27+FD28-FM27)))</f>
        <v>107.30000000000003</v>
      </c>
      <c r="FF28" s="18">
        <f>FE28*VLOOKUP('Données projet'!$B$16,Paramètres!$A$1:$I$89,3,0)*VLOOKUP('Données projet'!$B$16,Paramètres!$A$1:$I$89,5,0)</f>
        <v>93.737280000000041</v>
      </c>
      <c r="FG28" s="14">
        <f t="shared" si="47"/>
        <v>25.464421537098321</v>
      </c>
      <c r="FH28" s="22">
        <f t="shared" si="22"/>
        <v>207.60963017711296</v>
      </c>
      <c r="FI28" s="60">
        <f t="shared" si="23"/>
        <v>494.83185239933516</v>
      </c>
      <c r="FJ28" s="60">
        <f ca="1">AVERAGE(OFFSET($FI$3,0,0,'Données projet'!$E$16+1,1))-AVERAGE(OFFSET($H$3,0,0,'Données projet'!$E$16+1,1))</f>
        <v>274.38315511766132</v>
      </c>
      <c r="FK28" s="60">
        <f t="shared" si="48"/>
        <v>255.96663040027175</v>
      </c>
      <c r="FL28" s="16">
        <f>IF(ISNA(VLOOKUP(A28,'Données projet'!$A$217:$I$237,3,0)),0,VLOOKUP(A28,'Données projet'!$A$217:$I$237,3,0))</f>
        <v>1</v>
      </c>
      <c r="FM28" s="16">
        <f>IF(ISNA(VLOOKUP(A28,'Données projet'!$A$217:$I$237,4,0)),0,VLOOKUP(A28,'Données projet'!$A$217:$I$237,4,0))</f>
        <v>42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10.166666666666666</v>
      </c>
      <c r="FZ28" s="13">
        <f>IF('Données projet'!$A$244&gt;35,FZ27+FY28-GH27,IF(A28&lt;'Données projet'!$A$244,$FW$205^A28,IF(A28='Données projet'!$A$244,'Données projet'!$B$244,FZ27+FY28-GH27)))</f>
        <v>56.666666666666657</v>
      </c>
      <c r="GA28" s="18">
        <f>FZ28*VLOOKUP('Données projet'!$B$17,Paramètres!$A$1:$I$89,3,0)*VLOOKUP('Données projet'!$B$17,Paramètres!$A$1:$I$89,5,0)</f>
        <v>48.62</v>
      </c>
      <c r="GB28" s="14">
        <f t="shared" si="49"/>
        <v>14.256790200344732</v>
      </c>
      <c r="GC28" s="22">
        <f t="shared" si="25"/>
        <v>109.51040959893373</v>
      </c>
      <c r="GD28" s="60">
        <f t="shared" si="26"/>
        <v>396.73263182115596</v>
      </c>
      <c r="GE28" s="60">
        <f ca="1">AVERAGE(OFFSET($GD$3,0,0,'Données projet'!$E$17+1,1))-AVERAGE(OFFSET($H$3,0,0,'Données projet'!$E$17+1,1))</f>
        <v>445.81166342116865</v>
      </c>
      <c r="GF28" s="60">
        <f t="shared" si="50"/>
        <v>230.82970731138215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>
        <f>VLOOKUP(A28,'Données projet'!$A$269:$I$289,2,0)</f>
        <v>113</v>
      </c>
      <c r="GS28" s="13">
        <f>VLOOKUP(A28,'Données projet'!$A$269:$I$289,9,0)</f>
        <v>10.6</v>
      </c>
      <c r="GT28" s="13">
        <f t="array" ref="GT28">INDEX(GS:GS,MIN(IF(ISNUMBER(GS28:GS224),ROW(GS28:GS224),"")))</f>
        <v>10.6</v>
      </c>
      <c r="GU28" s="13">
        <f>IF('Données projet'!$A$270&gt;35,GU27+GT28-HC27,IF(A28&lt;'Données projet'!$A$270,$GR$205^A28,IF(A28='Données projet'!$A$270,'Données projet'!$B$270,GU27+GT28-HC27)))</f>
        <v>112.99999999999996</v>
      </c>
      <c r="GV28" s="18">
        <f>GU28*VLOOKUP('Données projet'!$B$18,Paramètres!$A$1:$I$89,3,0)*VLOOKUP('Données projet'!$B$18,Paramètres!$A$1:$I$89,5,0)</f>
        <v>88.139999999999972</v>
      </c>
      <c r="GW28" s="14">
        <f t="shared" si="51"/>
        <v>24.116094026318823</v>
      </c>
      <c r="GX28" s="22">
        <f t="shared" si="28"/>
        <v>195.51269709583855</v>
      </c>
      <c r="GY28" s="60">
        <f t="shared" si="29"/>
        <v>482.73491931806075</v>
      </c>
      <c r="GZ28" s="60">
        <f ca="1">AVERAGE(OFFSET($GY$3,0,0,'Données projet'!$E$18+1,1))-AVERAGE(OFFSET($H$3,0,0,'Données projet'!$E$18+1,1))</f>
        <v>289.19475369871481</v>
      </c>
      <c r="HA28" s="60">
        <f t="shared" si="52"/>
        <v>283.48738729114024</v>
      </c>
      <c r="HB28" s="16">
        <f>IF(ISNA(VLOOKUP(A28,'Données projet'!$A$269:$I$289,3,0)),0,VLOOKUP(A28,'Données projet'!$A$269:$I$289,3,0))</f>
        <v>2</v>
      </c>
      <c r="HC28" s="16">
        <f>IF(ISNA(VLOOKUP(A28,'Données projet'!$A$269:$I$289,4,0)),0,VLOOKUP(A28,'Données projet'!$A$269:$I$289,4,0))</f>
        <v>27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projet'!$B$18,Paramètres!$A$1:$I$89,3,0)*0.475*44/12</f>
        <v>0</v>
      </c>
      <c r="HH28" s="23">
        <f>EXP(-LN(2)/25)*HH27+(1-EXP(-LN(2)/25))/(LN(2)/25)*Calculateur!HC28*Calculateur!HE28*VLOOKUP('Données projet'!$B$18,Paramètres!$A$1:$I$89,3,0)*0.475*44/12</f>
        <v>0</v>
      </c>
      <c r="HI28" s="23">
        <f>EXP(-LN(2)/2)*HI27+(1-EXP(-LN(2)/2))/(LN(2)/2)*HC28*HF28*VLOOKUP('Données projet'!$B$18,Paramètres!$A$1:$I$89,3,0)*0.475*44/12</f>
        <v>0</v>
      </c>
      <c r="HJ28" s="24">
        <f t="shared" si="30"/>
        <v>0</v>
      </c>
    </row>
    <row r="29" spans="1:218" s="5" customFormat="1" x14ac:dyDescent="0.3">
      <c r="A29" s="11">
        <f t="shared" si="31"/>
        <v>26</v>
      </c>
      <c r="B29" s="75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8">
        <f t="shared" si="1"/>
        <v>256.66666666666669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</v>
      </c>
      <c r="O29" s="14">
        <f>N29*VLOOKUP('Données projet'!$B$9,Paramètres!$A$1:$I$89,3,0)*VLOOKUP('Données projet'!$B$9,Paramètres!$A$1:$I$89,5,0)</f>
        <v>66.736800000000002</v>
      </c>
      <c r="P29" s="14">
        <f t="shared" si="33"/>
        <v>18.860852268900601</v>
      </c>
      <c r="Q29" s="22">
        <f t="shared" si="2"/>
        <v>149.08257770166853</v>
      </c>
      <c r="R29" s="60">
        <f t="shared" si="0"/>
        <v>437.52702214611298</v>
      </c>
      <c r="S29" s="60">
        <f ca="1">AVERAGE(OFFSET($R$3,0,0,'Données projet'!$E$9+1,1))-AVERAGE(OFFSET($H$3,0,0,'Données projet'!$E$9+1,1))</f>
        <v>456.86147223520601</v>
      </c>
      <c r="T29" s="60">
        <f t="shared" si="34"/>
        <v>244.45149244446094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</v>
      </c>
      <c r="AI29" s="14">
        <f>IF('Données projet'!$A$62&gt;35,AI28+AH29-AQ28,IF(A29&lt;'Données projet'!$A$62,$AF$205^A29,IF(A29='Données projet'!$A$62,'Données projet'!$B$62,AI28+AH29-AQ28)))</f>
        <v>65</v>
      </c>
      <c r="AJ29" s="14">
        <f>AI29*VLOOKUP('Données projet'!$B$10,Paramètres!$A$1:$I$89,3,0)*VLOOKUP('Données projet'!$B$10,Paramètres!$A$1:$I$89,5,0)</f>
        <v>42.588000000000001</v>
      </c>
      <c r="AK29" s="14">
        <f t="shared" si="35"/>
        <v>12.682073764365764</v>
      </c>
      <c r="AL29" s="22">
        <f t="shared" si="4"/>
        <v>96.262045139603686</v>
      </c>
      <c r="AM29" s="60">
        <f t="shared" si="5"/>
        <v>384.70648958404814</v>
      </c>
      <c r="AN29" s="60">
        <f ca="1">AVERAGE(OFFSET($AM$3,0,0,'Données projet'!$E$10+1,1))-AVERAGE(OFFSET($H$3,0,0,'Données projet'!$E$10+1,1))</f>
        <v>170.79567854714986</v>
      </c>
      <c r="AO29" s="60">
        <f t="shared" si="36"/>
        <v>155.92788004111191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8.8000000000000007</v>
      </c>
      <c r="BD29" s="13">
        <f>IF('Données projet'!$A$88&gt;35,BD28+BC29-BL28,IF(A29&lt;'Données projet'!$A$88,$BA$205^A29,IF(A29='Données projet'!$A$88,'Données projet'!$B$88,BD28+BC29-BL28)))</f>
        <v>110.79999999999997</v>
      </c>
      <c r="BE29" s="14">
        <f>BD29*VLOOKUP('Données projet'!$B$11,Paramètres!$A$1:$I$89,3,0)*VLOOKUP('Données projet'!$B$11,Paramètres!$A$1:$I$89,5,0)</f>
        <v>89.880959999999973</v>
      </c>
      <c r="BF29" s="14">
        <f t="shared" si="37"/>
        <v>24.536513201257339</v>
      </c>
      <c r="BG29" s="22">
        <f t="shared" si="7"/>
        <v>199.27709915885649</v>
      </c>
      <c r="BH29" s="60">
        <f t="shared" si="8"/>
        <v>487.72154360330092</v>
      </c>
      <c r="BI29" s="60">
        <f ca="1">AVERAGE(OFFSET($BH$3,0,0,'Données projet'!$E$11+1,1))-AVERAGE(OFFSET($H$3,0,0,'Données projet'!$E$11+1,1))</f>
        <v>256.19915261735281</v>
      </c>
      <c r="BJ29" s="60">
        <f t="shared" si="38"/>
        <v>297.47246687305056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6.2820512820512819</v>
      </c>
      <c r="BY29" s="13">
        <f>IF('Données projet'!$A$114&gt;35,BY28+BX29-CG28,IF(A29&lt;'Données projet'!$A$114,$BV$205^A29,IF(A29='Données projet'!$A$114,'Données projet'!$B$114,BY28+BX29-CG28)))</f>
        <v>73.58974358974362</v>
      </c>
      <c r="BZ29" s="14">
        <f>BY29*VLOOKUP('Données projet'!$B$12,Paramètres!$A$1:$I$89,3,0)*VLOOKUP('Données projet'!$B$12,Paramètres!$A$1:$I$89,5,0)</f>
        <v>70.028000000000034</v>
      </c>
      <c r="CA29" s="14">
        <f t="shared" si="39"/>
        <v>19.680410796372318</v>
      </c>
      <c r="CB29" s="22">
        <f t="shared" si="10"/>
        <v>156.24214880368183</v>
      </c>
      <c r="CC29" s="60">
        <f t="shared" si="11"/>
        <v>444.68659324812631</v>
      </c>
      <c r="CD29" s="60">
        <f ca="1">AVERAGE(OFFSET($CC$3,0,0,'Données projet'!$E$12+1,1))-AVERAGE(OFFSET($H$3,0,0,'Données projet'!$E$12+1,1))</f>
        <v>353.53401919391234</v>
      </c>
      <c r="CE29" s="60">
        <f t="shared" si="40"/>
        <v>244.7141066773861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</v>
      </c>
      <c r="CT29" s="13">
        <f>IF('Données projet'!$A$140&gt;35,CT28+CS29-DB28,IF(A29&lt;'Données projet'!$A$140,$CQ$205^A29,IF(A29='Données projet'!$A$140,'Données projet'!$B$140,CT28+CS29-DB28)))</f>
        <v>69</v>
      </c>
      <c r="CU29" s="18">
        <f>CT29*VLOOKUP('Données projet'!$B$13,Paramètres!$A$1:$I$89,3,0)*VLOOKUP('Données projet'!$B$13,Paramètres!$A$1:$I$89,5,0)</f>
        <v>58.125600000000013</v>
      </c>
      <c r="CV29" s="14">
        <f t="shared" si="41"/>
        <v>16.693490054590175</v>
      </c>
      <c r="CW29" s="22">
        <f t="shared" si="13"/>
        <v>130.30991517841125</v>
      </c>
      <c r="CX29" s="60">
        <f t="shared" si="14"/>
        <v>418.7543596228557</v>
      </c>
      <c r="CY29" s="60">
        <f ca="1">AVERAGE(OFFSET($CX$3,0,0,'Données projet'!$E$13+1,1))-AVERAGE(OFFSET($H$3,0,0,'Données projet'!$E$13+1,1))</f>
        <v>403.33327536410098</v>
      </c>
      <c r="CZ29" s="60">
        <f t="shared" si="42"/>
        <v>218.26721063098552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12</v>
      </c>
      <c r="DO29" s="13">
        <f>IF('Données projet'!$A$166&gt;35,DO28+DN29-DW28,IF(A29&lt;'Données projet'!$A$166,$DL$205^A29,IF(A29='Données projet'!$A$166,'Données projet'!$B$166,DO28+DN29-DW28)))</f>
        <v>98.5</v>
      </c>
      <c r="DP29" s="18">
        <f>DO29*VLOOKUP('Données projet'!$B$14,Paramètres!$A$1:$I$89,3,0)*VLOOKUP('Données projet'!$B$14,Paramètres!$A$1:$I$89,5,0)</f>
        <v>78.366600000000005</v>
      </c>
      <c r="DQ29" s="14">
        <f t="shared" si="43"/>
        <v>21.737331115333586</v>
      </c>
      <c r="DR29" s="22">
        <f t="shared" si="16"/>
        <v>174.34768002587268</v>
      </c>
      <c r="DS29" s="60">
        <f t="shared" si="17"/>
        <v>462.79212447031716</v>
      </c>
      <c r="DT29" s="60">
        <f ca="1">AVERAGE(OFFSET($DS$3,0,0,'Données projet'!$E$14+1,1))-AVERAGE(OFFSET($H$3,0,0,'Données projet'!$E$14+1,1))</f>
        <v>317.13087551964747</v>
      </c>
      <c r="DU29" s="60">
        <f t="shared" si="44"/>
        <v>293.43300041793185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9.64</v>
      </c>
      <c r="EJ29" s="13">
        <f>IF('Données projet'!$A$192&gt;35,EJ28+EI29-ER28,IF(A29&lt;'Données projet'!$A$192,$EG$205^A29,IF(A29='Données projet'!$A$192,'Données projet'!$B$192,EJ28+EI29-ER28)))</f>
        <v>74.940000000000026</v>
      </c>
      <c r="EK29" s="18">
        <f>EJ29*VLOOKUP('Données projet'!$B$15,Paramètres!$A$1:$I$89,3,0)*VLOOKUP('Données projet'!$B$15,Paramètres!$A$1:$I$89,5,0)</f>
        <v>59.622264000000023</v>
      </c>
      <c r="EL29" s="14">
        <f t="shared" si="45"/>
        <v>17.072730425117037</v>
      </c>
      <c r="EM29" s="22">
        <f t="shared" si="19"/>
        <v>133.57711529041219</v>
      </c>
      <c r="EN29" s="60">
        <f t="shared" si="20"/>
        <v>422.02155973485662</v>
      </c>
      <c r="EO29" s="60">
        <f ca="1">AVERAGE(OFFSET($EN$3,0,0,'Données projet'!$E$15+1,1))-AVERAGE(OFFSET($H$3,0,0,'Données projet'!$E$15+1,1))</f>
        <v>253.03289960511904</v>
      </c>
      <c r="EP29" s="60">
        <f t="shared" si="46"/>
        <v>236.85088713056018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9.64</v>
      </c>
      <c r="FE29" s="13">
        <f>IF('Données projet'!$A$218&gt;35,FE28+FD29-FM28,IF(A29&lt;'Données projet'!$A$218,$FB$205^A29,IF(A29='Données projet'!$A$218,'Données projet'!$B$218,FE28+FD29-FM28)))</f>
        <v>74.940000000000026</v>
      </c>
      <c r="FF29" s="18">
        <f>FE29*VLOOKUP('Données projet'!$B$16,Paramètres!$A$1:$I$89,3,0)*VLOOKUP('Données projet'!$B$16,Paramètres!$A$1:$I$89,5,0)</f>
        <v>65.467584000000031</v>
      </c>
      <c r="FG29" s="14">
        <f t="shared" si="47"/>
        <v>18.543551553673169</v>
      </c>
      <c r="FH29" s="22">
        <f t="shared" si="22"/>
        <v>146.31939442264749</v>
      </c>
      <c r="FI29" s="60">
        <f t="shared" si="23"/>
        <v>434.76383886709198</v>
      </c>
      <c r="FJ29" s="60">
        <f ca="1">AVERAGE(OFFSET($FI$3,0,0,'Données projet'!$E$16+1,1))-AVERAGE(OFFSET($H$3,0,0,'Données projet'!$E$16+1,1))</f>
        <v>274.38315511766132</v>
      </c>
      <c r="FK29" s="60">
        <f t="shared" si="48"/>
        <v>255.96663040027175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10.166666666666666</v>
      </c>
      <c r="FZ29" s="13">
        <f>IF('Données projet'!$A$244&gt;35,FZ28+FY29-GH28,IF(A29&lt;'Données projet'!$A$244,$FW$205^A29,IF(A29='Données projet'!$A$244,'Données projet'!$B$244,FZ28+FY29-GH28)))</f>
        <v>66.833333333333329</v>
      </c>
      <c r="GA29" s="18">
        <f>FZ29*VLOOKUP('Données projet'!$B$17,Paramètres!$A$1:$I$89,3,0)*VLOOKUP('Données projet'!$B$17,Paramètres!$A$1:$I$89,5,0)</f>
        <v>57.343000000000004</v>
      </c>
      <c r="GB29" s="14">
        <f t="shared" si="49"/>
        <v>16.494735476368202</v>
      </c>
      <c r="GC29" s="22">
        <f t="shared" si="25"/>
        <v>128.6007226213413</v>
      </c>
      <c r="GD29" s="60">
        <f t="shared" si="26"/>
        <v>417.04516706578579</v>
      </c>
      <c r="GE29" s="60">
        <f ca="1">AVERAGE(OFFSET($GD$3,0,0,'Données projet'!$E$17+1,1))-AVERAGE(OFFSET($H$3,0,0,'Données projet'!$E$17+1,1))</f>
        <v>445.81166342116865</v>
      </c>
      <c r="GF29" s="60">
        <f t="shared" si="50"/>
        <v>230.82970731138215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11.5</v>
      </c>
      <c r="GU29" s="13">
        <f>IF('Données projet'!$A$270&gt;35,GU28+GT29-HC28,IF(A29&lt;'Données projet'!$A$270,$GR$205^A29,IF(A29='Données projet'!$A$270,'Données projet'!$B$270,GU28+GT29-HC28)))</f>
        <v>97.499999999999957</v>
      </c>
      <c r="GV29" s="18">
        <f>GU29*VLOOKUP('Données projet'!$B$18,Paramètres!$A$1:$I$89,3,0)*VLOOKUP('Données projet'!$B$18,Paramètres!$A$1:$I$89,5,0)</f>
        <v>76.049999999999969</v>
      </c>
      <c r="GW29" s="14">
        <f t="shared" si="51"/>
        <v>21.168560890749262</v>
      </c>
      <c r="GX29" s="22">
        <f t="shared" si="28"/>
        <v>169.32232688472158</v>
      </c>
      <c r="GY29" s="60">
        <f t="shared" si="29"/>
        <v>457.76677132916603</v>
      </c>
      <c r="GZ29" s="60">
        <f ca="1">AVERAGE(OFFSET($GY$3,0,0,'Données projet'!$E$18+1,1))-AVERAGE(OFFSET($H$3,0,0,'Données projet'!$E$18+1,1))</f>
        <v>289.19475369871481</v>
      </c>
      <c r="HA29" s="60">
        <f t="shared" si="52"/>
        <v>283.48738729114024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projet'!$B$18,Paramètres!$A$1:$I$89,3,0)*0.475*44/12</f>
        <v>0</v>
      </c>
      <c r="HH29" s="23">
        <f>EXP(-LN(2)/25)*HH28+(1-EXP(-LN(2)/25))/(LN(2)/25)*Calculateur!HC29*Calculateur!HE29*VLOOKUP('Données projet'!$B$18,Paramètres!$A$1:$I$89,3,0)*0.475*44/12</f>
        <v>0</v>
      </c>
      <c r="HI29" s="23">
        <f>EXP(-LN(2)/2)*HI28+(1-EXP(-LN(2)/2))/(LN(2)/2)*HC29*HF29*VLOOKUP('Données projet'!$B$18,Paramètres!$A$1:$I$89,3,0)*0.475*44/12</f>
        <v>0</v>
      </c>
      <c r="HJ29" s="24">
        <f t="shared" si="30"/>
        <v>0</v>
      </c>
    </row>
    <row r="30" spans="1:218" s="5" customFormat="1" x14ac:dyDescent="0.3">
      <c r="A30" s="11">
        <f t="shared" si="31"/>
        <v>27</v>
      </c>
      <c r="B30" s="75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8">
        <f t="shared" si="1"/>
        <v>256.66666666666669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</v>
      </c>
      <c r="O30" s="14">
        <f>N30*VLOOKUP('Données projet'!$B$9,Paramètres!$A$1:$I$89,3,0)*VLOOKUP('Données projet'!$B$9,Paramètres!$A$1:$I$89,5,0)</f>
        <v>73.507199999999997</v>
      </c>
      <c r="P30" s="14">
        <f t="shared" si="33"/>
        <v>20.541925364615185</v>
      </c>
      <c r="Q30" s="22">
        <f t="shared" si="2"/>
        <v>163.80222667670475</v>
      </c>
      <c r="R30" s="60">
        <f t="shared" si="0"/>
        <v>453.46889334337141</v>
      </c>
      <c r="S30" s="60">
        <f ca="1">AVERAGE(OFFSET($R$3,0,0,'Données projet'!$E$9+1,1))-AVERAGE(OFFSET($H$3,0,0,'Données projet'!$E$9+1,1))</f>
        <v>456.86147223520601</v>
      </c>
      <c r="T30" s="60">
        <f t="shared" si="34"/>
        <v>244.45149244446094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4</v>
      </c>
      <c r="AI30" s="14">
        <f>IF('Données projet'!$A$62&gt;35,AI29+AH30-AQ29,IF(A30&lt;'Données projet'!$A$62,$AF$205^A30,IF(A30='Données projet'!$A$62,'Données projet'!$B$62,AI29+AH30-AQ29)))</f>
        <v>69</v>
      </c>
      <c r="AJ30" s="14">
        <f>AI30*VLOOKUP('Données projet'!$B$10,Paramètres!$A$1:$I$89,3,0)*VLOOKUP('Données projet'!$B$10,Paramètres!$A$1:$I$89,5,0)</f>
        <v>45.208800000000004</v>
      </c>
      <c r="AK30" s="14">
        <f t="shared" si="35"/>
        <v>13.369251386406743</v>
      </c>
      <c r="AL30" s="22">
        <f t="shared" si="4"/>
        <v>102.02343949799173</v>
      </c>
      <c r="AM30" s="60">
        <f t="shared" si="5"/>
        <v>391.6901061646584</v>
      </c>
      <c r="AN30" s="60">
        <f ca="1">AVERAGE(OFFSET($AM$3,0,0,'Données projet'!$E$10+1,1))-AVERAGE(OFFSET($H$3,0,0,'Données projet'!$E$10+1,1))</f>
        <v>170.79567854714986</v>
      </c>
      <c r="AO30" s="60">
        <f t="shared" si="36"/>
        <v>155.92788004111191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8.8000000000000007</v>
      </c>
      <c r="BD30" s="13">
        <f>IF('Données projet'!$A$88&gt;35,BD29+BC30-BL29,IF(A30&lt;'Données projet'!$A$88,$BA$205^A30,IF(A30='Données projet'!$A$88,'Données projet'!$B$88,BD29+BC30-BL29)))</f>
        <v>119.59999999999997</v>
      </c>
      <c r="BE30" s="14">
        <f>BD30*VLOOKUP('Données projet'!$B$11,Paramètres!$A$1:$I$89,3,0)*VLOOKUP('Données projet'!$B$11,Paramètres!$A$1:$I$89,5,0)</f>
        <v>97.019519999999986</v>
      </c>
      <c r="BF30" s="14">
        <f t="shared" si="37"/>
        <v>26.250693712468323</v>
      </c>
      <c r="BG30" s="22">
        <f t="shared" si="7"/>
        <v>214.69562221588228</v>
      </c>
      <c r="BH30" s="60">
        <f t="shared" si="8"/>
        <v>504.36228888254897</v>
      </c>
      <c r="BI30" s="60">
        <f ca="1">AVERAGE(OFFSET($BH$3,0,0,'Données projet'!$E$11+1,1))-AVERAGE(OFFSET($H$3,0,0,'Données projet'!$E$11+1,1))</f>
        <v>256.19915261735281</v>
      </c>
      <c r="BJ30" s="60">
        <f t="shared" si="38"/>
        <v>297.47246687305056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6.2820512820512819</v>
      </c>
      <c r="BY30" s="13">
        <f>IF('Données projet'!$A$114&gt;35,BY29+BX30-CG29,IF(A30&lt;'Données projet'!$A$114,$BV$205^A30,IF(A30='Données projet'!$A$114,'Données projet'!$B$114,BY29+BX30-CG29)))</f>
        <v>79.871794871794904</v>
      </c>
      <c r="BZ30" s="14">
        <f>BY30*VLOOKUP('Données projet'!$B$12,Paramètres!$A$1:$I$89,3,0)*VLOOKUP('Données projet'!$B$12,Paramètres!$A$1:$I$89,5,0)</f>
        <v>76.006000000000029</v>
      </c>
      <c r="CA30" s="14">
        <f t="shared" si="39"/>
        <v>21.157738701449713</v>
      </c>
      <c r="CB30" s="22">
        <f t="shared" si="10"/>
        <v>169.22684490502496</v>
      </c>
      <c r="CC30" s="60">
        <f t="shared" si="11"/>
        <v>458.89351157169165</v>
      </c>
      <c r="CD30" s="60">
        <f ca="1">AVERAGE(OFFSET($CC$3,0,0,'Données projet'!$E$12+1,1))-AVERAGE(OFFSET($H$3,0,0,'Données projet'!$E$12+1,1))</f>
        <v>353.53401919391234</v>
      </c>
      <c r="CE30" s="60">
        <f t="shared" si="40"/>
        <v>244.7141066773861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</v>
      </c>
      <c r="CT30" s="13">
        <f>IF('Données projet'!$A$140&gt;35,CT29+CS30-DB29,IF(A30&lt;'Données projet'!$A$140,$CQ$205^A30,IF(A30='Données projet'!$A$140,'Données projet'!$B$140,CT29+CS30-DB29)))</f>
        <v>76</v>
      </c>
      <c r="CU30" s="18">
        <f>CT30*VLOOKUP('Données projet'!$B$13,Paramètres!$A$1:$I$89,3,0)*VLOOKUP('Données projet'!$B$13,Paramètres!$A$1:$I$89,5,0)</f>
        <v>64.022400000000019</v>
      </c>
      <c r="CV30" s="14">
        <f t="shared" si="41"/>
        <v>18.181385543312242</v>
      </c>
      <c r="CW30" s="22">
        <f t="shared" si="13"/>
        <v>143.17159315460219</v>
      </c>
      <c r="CX30" s="60">
        <f t="shared" si="14"/>
        <v>432.83825982126888</v>
      </c>
      <c r="CY30" s="60">
        <f ca="1">AVERAGE(OFFSET($CX$3,0,0,'Données projet'!$E$13+1,1))-AVERAGE(OFFSET($H$3,0,0,'Données projet'!$E$13+1,1))</f>
        <v>403.33327536410098</v>
      </c>
      <c r="CZ30" s="60">
        <f t="shared" si="42"/>
        <v>218.26721063098552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12</v>
      </c>
      <c r="DO30" s="13">
        <f>IF('Données projet'!$A$166&gt;35,DO29+DN30-DW29,IF(A30&lt;'Données projet'!$A$166,$DL$205^A30,IF(A30='Données projet'!$A$166,'Données projet'!$B$166,DO29+DN30-DW29)))</f>
        <v>110.5</v>
      </c>
      <c r="DP30" s="18">
        <f>DO30*VLOOKUP('Données projet'!$B$14,Paramètres!$A$1:$I$89,3,0)*VLOOKUP('Données projet'!$B$14,Paramètres!$A$1:$I$89,5,0)</f>
        <v>87.913800000000009</v>
      </c>
      <c r="DQ30" s="14">
        <f t="shared" si="43"/>
        <v>24.061399085756083</v>
      </c>
      <c r="DR30" s="22">
        <f t="shared" si="16"/>
        <v>195.02347174102519</v>
      </c>
      <c r="DS30" s="60">
        <f t="shared" si="17"/>
        <v>484.69013840769185</v>
      </c>
      <c r="DT30" s="60">
        <f ca="1">AVERAGE(OFFSET($DS$3,0,0,'Données projet'!$E$14+1,1))-AVERAGE(OFFSET($H$3,0,0,'Données projet'!$E$14+1,1))</f>
        <v>317.13087551964747</v>
      </c>
      <c r="DU30" s="60">
        <f t="shared" si="44"/>
        <v>293.43300041793185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9.64</v>
      </c>
      <c r="EJ30" s="13">
        <f>IF('Données projet'!$A$192&gt;35,EJ29+EI30-ER29,IF(A30&lt;'Données projet'!$A$192,$EG$205^A30,IF(A30='Données projet'!$A$192,'Données projet'!$B$192,EJ29+EI30-ER29)))</f>
        <v>84.580000000000027</v>
      </c>
      <c r="EK30" s="18">
        <f>EJ30*VLOOKUP('Données projet'!$B$15,Paramètres!$A$1:$I$89,3,0)*VLOOKUP('Données projet'!$B$15,Paramètres!$A$1:$I$89,5,0)</f>
        <v>67.29184800000003</v>
      </c>
      <c r="EL30" s="14">
        <f t="shared" si="45"/>
        <v>18.999391432729507</v>
      </c>
      <c r="EM30" s="22">
        <f t="shared" si="19"/>
        <v>150.29057534533729</v>
      </c>
      <c r="EN30" s="60">
        <f t="shared" si="20"/>
        <v>439.95724201200397</v>
      </c>
      <c r="EO30" s="60">
        <f ca="1">AVERAGE(OFFSET($EN$3,0,0,'Données projet'!$E$15+1,1))-AVERAGE(OFFSET($H$3,0,0,'Données projet'!$E$15+1,1))</f>
        <v>253.03289960511904</v>
      </c>
      <c r="EP30" s="60">
        <f t="shared" si="46"/>
        <v>236.85088713056018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9.64</v>
      </c>
      <c r="FE30" s="13">
        <f>IF('Données projet'!$A$218&gt;35,FE29+FD30-FM29,IF(A30&lt;'Données projet'!$A$218,$FB$205^A30,IF(A30='Données projet'!$A$218,'Données projet'!$B$218,FE29+FD30-FM29)))</f>
        <v>84.580000000000027</v>
      </c>
      <c r="FF30" s="18">
        <f>FE30*VLOOKUP('Données projet'!$B$16,Paramètres!$A$1:$I$89,3,0)*VLOOKUP('Données projet'!$B$16,Paramètres!$A$1:$I$89,5,0)</f>
        <v>73.889088000000029</v>
      </c>
      <c r="FG30" s="14">
        <f t="shared" si="47"/>
        <v>20.636195016757007</v>
      </c>
      <c r="FH30" s="22">
        <f t="shared" si="22"/>
        <v>164.63153458751853</v>
      </c>
      <c r="FI30" s="60">
        <f t="shared" si="23"/>
        <v>454.29820125418519</v>
      </c>
      <c r="FJ30" s="60">
        <f ca="1">AVERAGE(OFFSET($FI$3,0,0,'Données projet'!$E$16+1,1))-AVERAGE(OFFSET($H$3,0,0,'Données projet'!$E$16+1,1))</f>
        <v>274.38315511766132</v>
      </c>
      <c r="FK30" s="60">
        <f t="shared" si="48"/>
        <v>255.96663040027175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>
        <f>VLOOKUP(A30,'Données projet'!$A$243:$I$263,2,0)</f>
        <v>77</v>
      </c>
      <c r="FX30" s="13">
        <f>VLOOKUP(A30,'Données projet'!$A$243:$I$263,9,0)</f>
        <v>10.166666666666666</v>
      </c>
      <c r="FY30" s="13">
        <f t="array" ref="FY30">INDEX(FX:FX,MIN(IF(ISNUMBER(FX30:FX226),ROW(FX30:FX226),"")))</f>
        <v>10.166666666666666</v>
      </c>
      <c r="FZ30" s="13">
        <f>IF('Données projet'!$A$244&gt;35,FZ29+FY30-GH29,IF(A30&lt;'Données projet'!$A$244,$FW$205^A30,IF(A30='Données projet'!$A$244,'Données projet'!$B$244,FZ29+FY30-GH29)))</f>
        <v>77</v>
      </c>
      <c r="GA30" s="18">
        <f>FZ30*VLOOKUP('Données projet'!$B$17,Paramètres!$A$1:$I$89,3,0)*VLOOKUP('Données projet'!$B$17,Paramètres!$A$1:$I$89,5,0)</f>
        <v>66.066000000000003</v>
      </c>
      <c r="GB30" s="14">
        <f t="shared" si="49"/>
        <v>18.69324238096624</v>
      </c>
      <c r="GC30" s="22">
        <f t="shared" si="25"/>
        <v>147.62234714684953</v>
      </c>
      <c r="GD30" s="60">
        <f t="shared" si="26"/>
        <v>437.28901381351625</v>
      </c>
      <c r="GE30" s="60">
        <f ca="1">AVERAGE(OFFSET($GD$3,0,0,'Données projet'!$E$17+1,1))-AVERAGE(OFFSET($H$3,0,0,'Données projet'!$E$17+1,1))</f>
        <v>445.81166342116865</v>
      </c>
      <c r="GF30" s="60">
        <f t="shared" si="50"/>
        <v>230.82970731138215</v>
      </c>
      <c r="GG30" s="16">
        <f>IF(ISNA(VLOOKUP(A30,'Données projet'!$A$243:$I$263,3,0)),0,VLOOKUP(A30,'Données projet'!$A$243:$I$263,3,0))</f>
        <v>1</v>
      </c>
      <c r="GH30" s="16">
        <f>IF(ISNA(VLOOKUP(A30,'Données projet'!$A$243:$I$263,4,0)),0,VLOOKUP(A30,'Données projet'!$A$243:$I$263,4,0))</f>
        <v>12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11.5</v>
      </c>
      <c r="GU30" s="13">
        <f>IF('Données projet'!$A$270&gt;35,GU29+GT30-HC29,IF(A30&lt;'Données projet'!$A$270,$GR$205^A30,IF(A30='Données projet'!$A$270,'Données projet'!$B$270,GU29+GT30-HC29)))</f>
        <v>108.99999999999996</v>
      </c>
      <c r="GV30" s="18">
        <f>GU30*VLOOKUP('Données projet'!$B$18,Paramètres!$A$1:$I$89,3,0)*VLOOKUP('Données projet'!$B$18,Paramètres!$A$1:$I$89,5,0)</f>
        <v>85.019999999999968</v>
      </c>
      <c r="GW30" s="14">
        <f t="shared" si="51"/>
        <v>23.360218970693097</v>
      </c>
      <c r="GX30" s="22">
        <f t="shared" si="28"/>
        <v>188.76221470729038</v>
      </c>
      <c r="GY30" s="60">
        <f t="shared" si="29"/>
        <v>478.4288813739571</v>
      </c>
      <c r="GZ30" s="60">
        <f ca="1">AVERAGE(OFFSET($GY$3,0,0,'Données projet'!$E$18+1,1))-AVERAGE(OFFSET($H$3,0,0,'Données projet'!$E$18+1,1))</f>
        <v>289.19475369871481</v>
      </c>
      <c r="HA30" s="60">
        <f t="shared" si="52"/>
        <v>283.48738729114024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projet'!$B$18,Paramètres!$A$1:$I$89,3,0)*0.475*44/12</f>
        <v>0</v>
      </c>
      <c r="HH30" s="23">
        <f>EXP(-LN(2)/25)*HH29+(1-EXP(-LN(2)/25))/(LN(2)/25)*Calculateur!HC30*Calculateur!HE30*VLOOKUP('Données projet'!$B$18,Paramètres!$A$1:$I$89,3,0)*0.475*44/12</f>
        <v>0</v>
      </c>
      <c r="HI30" s="23">
        <f>EXP(-LN(2)/2)*HI29+(1-EXP(-LN(2)/2))/(LN(2)/2)*HC30*HF30*VLOOKUP('Données projet'!$B$18,Paramètres!$A$1:$I$89,3,0)*0.475*44/12</f>
        <v>0</v>
      </c>
      <c r="HJ30" s="24">
        <f t="shared" si="30"/>
        <v>0</v>
      </c>
    </row>
    <row r="31" spans="1:218" s="5" customFormat="1" x14ac:dyDescent="0.3">
      <c r="A31" s="11">
        <f t="shared" si="31"/>
        <v>28</v>
      </c>
      <c r="B31" s="75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8">
        <f t="shared" si="1"/>
        <v>256.66666666666669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</v>
      </c>
      <c r="O31" s="14">
        <f>N31*VLOOKUP('Données projet'!$B$9,Paramètres!$A$1:$I$89,3,0)*VLOOKUP('Données projet'!$B$9,Paramètres!$A$1:$I$89,5,0)</f>
        <v>80.277600000000007</v>
      </c>
      <c r="P31" s="14">
        <f t="shared" si="33"/>
        <v>22.205045081933264</v>
      </c>
      <c r="Q31" s="22">
        <f t="shared" si="2"/>
        <v>178.49060685103379</v>
      </c>
      <c r="R31" s="60">
        <f t="shared" si="0"/>
        <v>469.37949573992262</v>
      </c>
      <c r="S31" s="60">
        <f ca="1">AVERAGE(OFFSET($R$3,0,0,'Données projet'!$E$9+1,1))-AVERAGE(OFFSET($H$3,0,0,'Données projet'!$E$9+1,1))</f>
        <v>456.86147223520601</v>
      </c>
      <c r="T31" s="60">
        <f t="shared" si="34"/>
        <v>244.45149244446094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4</v>
      </c>
      <c r="AI31" s="14">
        <f>IF('Données projet'!$A$62&gt;35,AI30+AH31-AQ30,IF(A31&lt;'Données projet'!$A$62,$AF$205^A31,IF(A31='Données projet'!$A$62,'Données projet'!$B$62,AI30+AH31-AQ30)))</f>
        <v>73</v>
      </c>
      <c r="AJ31" s="14">
        <f>AI31*VLOOKUP('Données projet'!$B$10,Paramètres!$A$1:$I$89,3,0)*VLOOKUP('Données projet'!$B$10,Paramètres!$A$1:$I$89,5,0)</f>
        <v>47.829599999999999</v>
      </c>
      <c r="AK31" s="14">
        <f t="shared" si="35"/>
        <v>14.051804929211587</v>
      </c>
      <c r="AL31" s="22">
        <f t="shared" si="4"/>
        <v>107.77678025171018</v>
      </c>
      <c r="AM31" s="60">
        <f t="shared" si="5"/>
        <v>398.66566914059905</v>
      </c>
      <c r="AN31" s="60">
        <f ca="1">AVERAGE(OFFSET($AM$3,0,0,'Données projet'!$E$10+1,1))-AVERAGE(OFFSET($H$3,0,0,'Données projet'!$E$10+1,1))</f>
        <v>170.79567854714986</v>
      </c>
      <c r="AO31" s="60">
        <f t="shared" si="36"/>
        <v>155.92788004111191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8.8000000000000007</v>
      </c>
      <c r="BD31" s="13">
        <f>IF('Données projet'!$A$88&gt;35,BD30+BC31-BL30,IF(A31&lt;'Données projet'!$A$88,$BA$205^A31,IF(A31='Données projet'!$A$88,'Données projet'!$B$88,BD30+BC31-BL30)))</f>
        <v>128.39999999999998</v>
      </c>
      <c r="BE31" s="14">
        <f>BD31*VLOOKUP('Données projet'!$B$11,Paramètres!$A$1:$I$89,3,0)*VLOOKUP('Données projet'!$B$11,Paramètres!$A$1:$I$89,5,0)</f>
        <v>104.15807999999998</v>
      </c>
      <c r="BF31" s="14">
        <f t="shared" si="37"/>
        <v>27.950241801489337</v>
      </c>
      <c r="BG31" s="22">
        <f t="shared" si="7"/>
        <v>230.08866047092724</v>
      </c>
      <c r="BH31" s="60">
        <f t="shared" si="8"/>
        <v>520.97754935981607</v>
      </c>
      <c r="BI31" s="60">
        <f ca="1">AVERAGE(OFFSET($BH$3,0,0,'Données projet'!$E$11+1,1))-AVERAGE(OFFSET($H$3,0,0,'Données projet'!$E$11+1,1))</f>
        <v>256.19915261735281</v>
      </c>
      <c r="BJ31" s="60">
        <f t="shared" si="38"/>
        <v>297.47246687305056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6.2820512820512819</v>
      </c>
      <c r="BY31" s="13">
        <f>IF('Données projet'!$A$114&gt;35,BY30+BX31-CG30,IF(A31&lt;'Données projet'!$A$114,$BV$205^A31,IF(A31='Données projet'!$A$114,'Données projet'!$B$114,BY30+BX31-CG30)))</f>
        <v>86.153846153846189</v>
      </c>
      <c r="BZ31" s="14">
        <f>BY31*VLOOKUP('Données projet'!$B$12,Paramètres!$A$1:$I$89,3,0)*VLOOKUP('Données projet'!$B$12,Paramètres!$A$1:$I$89,5,0)</f>
        <v>81.984000000000037</v>
      </c>
      <c r="CA31" s="14">
        <f t="shared" si="39"/>
        <v>22.621588649697724</v>
      </c>
      <c r="CB31" s="22">
        <f t="shared" si="10"/>
        <v>182.18806689822361</v>
      </c>
      <c r="CC31" s="60">
        <f t="shared" si="11"/>
        <v>473.07695578711247</v>
      </c>
      <c r="CD31" s="60">
        <f ca="1">AVERAGE(OFFSET($CC$3,0,0,'Données projet'!$E$12+1,1))-AVERAGE(OFFSET($H$3,0,0,'Données projet'!$E$12+1,1))</f>
        <v>353.53401919391234</v>
      </c>
      <c r="CE31" s="60">
        <f t="shared" si="40"/>
        <v>244.7141066773861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</v>
      </c>
      <c r="CT31" s="13">
        <f>IF('Données projet'!$A$140&gt;35,CT30+CS31-DB30,IF(A31&lt;'Données projet'!$A$140,$CQ$205^A31,IF(A31='Données projet'!$A$140,'Données projet'!$B$140,CT30+CS31-DB30)))</f>
        <v>83</v>
      </c>
      <c r="CU31" s="18">
        <f>CT31*VLOOKUP('Données projet'!$B$13,Paramètres!$A$1:$I$89,3,0)*VLOOKUP('Données projet'!$B$13,Paramètres!$A$1:$I$89,5,0)</f>
        <v>69.919200000000004</v>
      </c>
      <c r="CV31" s="14">
        <f t="shared" si="41"/>
        <v>19.653390735061731</v>
      </c>
      <c r="CW31" s="22">
        <f t="shared" si="13"/>
        <v>156.00559553023251</v>
      </c>
      <c r="CX31" s="60">
        <f t="shared" si="14"/>
        <v>446.89448441912134</v>
      </c>
      <c r="CY31" s="60">
        <f ca="1">AVERAGE(OFFSET($CX$3,0,0,'Données projet'!$E$13+1,1))-AVERAGE(OFFSET($H$3,0,0,'Données projet'!$E$13+1,1))</f>
        <v>403.33327536410098</v>
      </c>
      <c r="CZ31" s="60">
        <f t="shared" si="42"/>
        <v>218.26721063098552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12</v>
      </c>
      <c r="DO31" s="13">
        <f>IF('Données projet'!$A$166&gt;35,DO30+DN31-DW30,IF(A31&lt;'Données projet'!$A$166,$DL$205^A31,IF(A31='Données projet'!$A$166,'Données projet'!$B$166,DO30+DN31-DW30)))</f>
        <v>122.5</v>
      </c>
      <c r="DP31" s="18">
        <f>DO31*VLOOKUP('Données projet'!$B$14,Paramètres!$A$1:$I$89,3,0)*VLOOKUP('Données projet'!$B$14,Paramètres!$A$1:$I$89,5,0)</f>
        <v>97.460999999999999</v>
      </c>
      <c r="DQ31" s="14">
        <f t="shared" si="43"/>
        <v>26.356213417143714</v>
      </c>
      <c r="DR31" s="22">
        <f t="shared" si="16"/>
        <v>215.64831336819194</v>
      </c>
      <c r="DS31" s="60">
        <f t="shared" si="17"/>
        <v>506.53720225708082</v>
      </c>
      <c r="DT31" s="60">
        <f ca="1">AVERAGE(OFFSET($DS$3,0,0,'Données projet'!$E$14+1,1))-AVERAGE(OFFSET($H$3,0,0,'Données projet'!$E$14+1,1))</f>
        <v>317.13087551964747</v>
      </c>
      <c r="DU31" s="60">
        <f t="shared" si="44"/>
        <v>293.43300041793185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9.64</v>
      </c>
      <c r="EJ31" s="13">
        <f>IF('Données projet'!$A$192&gt;35,EJ30+EI31-ER30,IF(A31&lt;'Données projet'!$A$192,$EG$205^A31,IF(A31='Données projet'!$A$192,'Données projet'!$B$192,EJ30+EI31-ER30)))</f>
        <v>94.220000000000027</v>
      </c>
      <c r="EK31" s="18">
        <f>EJ31*VLOOKUP('Données projet'!$B$15,Paramètres!$A$1:$I$89,3,0)*VLOOKUP('Données projet'!$B$15,Paramètres!$A$1:$I$89,5,0)</f>
        <v>74.96143200000003</v>
      </c>
      <c r="EL31" s="14">
        <f t="shared" si="45"/>
        <v>20.900602739925272</v>
      </c>
      <c r="EM31" s="22">
        <f t="shared" si="19"/>
        <v>166.95971050536991</v>
      </c>
      <c r="EN31" s="60">
        <f t="shared" si="20"/>
        <v>457.84859939425877</v>
      </c>
      <c r="EO31" s="60">
        <f ca="1">AVERAGE(OFFSET($EN$3,0,0,'Données projet'!$E$15+1,1))-AVERAGE(OFFSET($H$3,0,0,'Données projet'!$E$15+1,1))</f>
        <v>253.03289960511904</v>
      </c>
      <c r="EP31" s="60">
        <f t="shared" si="46"/>
        <v>236.85088713056018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9.64</v>
      </c>
      <c r="FE31" s="13">
        <f>IF('Données projet'!$A$218&gt;35,FE30+FD31-FM30,IF(A31&lt;'Données projet'!$A$218,$FB$205^A31,IF(A31='Données projet'!$A$218,'Données projet'!$B$218,FE30+FD31-FM30)))</f>
        <v>94.220000000000027</v>
      </c>
      <c r="FF31" s="18">
        <f>FE31*VLOOKUP('Données projet'!$B$16,Paramètres!$A$1:$I$89,3,0)*VLOOKUP('Données projet'!$B$16,Paramètres!$A$1:$I$89,5,0)</f>
        <v>82.310592000000028</v>
      </c>
      <c r="FG31" s="14">
        <f t="shared" si="47"/>
        <v>22.701196279680033</v>
      </c>
      <c r="FH31" s="22">
        <f t="shared" si="22"/>
        <v>182.89553125377611</v>
      </c>
      <c r="FI31" s="60">
        <f t="shared" si="23"/>
        <v>473.784420142665</v>
      </c>
      <c r="FJ31" s="60">
        <f ca="1">AVERAGE(OFFSET($FI$3,0,0,'Données projet'!$E$16+1,1))-AVERAGE(OFFSET($H$3,0,0,'Données projet'!$E$16+1,1))</f>
        <v>274.38315511766132</v>
      </c>
      <c r="FK31" s="60">
        <f t="shared" si="48"/>
        <v>255.96663040027175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12.333333333333334</v>
      </c>
      <c r="FZ31" s="13">
        <f>IF('Données projet'!$A$244&gt;35,FZ30+FY31-GH30,IF(A31&lt;'Données projet'!$A$244,$FW$205^A31,IF(A31='Données projet'!$A$244,'Données projet'!$B$244,FZ30+FY31-GH30)))</f>
        <v>77.333333333333329</v>
      </c>
      <c r="GA31" s="18">
        <f>FZ31*VLOOKUP('Données projet'!$B$17,Paramètres!$A$1:$I$89,3,0)*VLOOKUP('Données projet'!$B$17,Paramètres!$A$1:$I$89,5,0)</f>
        <v>66.352000000000004</v>
      </c>
      <c r="GB31" s="14">
        <f t="shared" si="49"/>
        <v>18.764728069895565</v>
      </c>
      <c r="GC31" s="22">
        <f t="shared" si="25"/>
        <v>148.24496805506811</v>
      </c>
      <c r="GD31" s="60">
        <f t="shared" si="26"/>
        <v>439.13385694395697</v>
      </c>
      <c r="GE31" s="60">
        <f ca="1">AVERAGE(OFFSET($GD$3,0,0,'Données projet'!$E$17+1,1))-AVERAGE(OFFSET($H$3,0,0,'Données projet'!$E$17+1,1))</f>
        <v>445.81166342116865</v>
      </c>
      <c r="GF31" s="60">
        <f t="shared" si="50"/>
        <v>230.82970731138215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11.5</v>
      </c>
      <c r="GU31" s="13">
        <f>IF('Données projet'!$A$270&gt;35,GU30+GT31-HC30,IF(A31&lt;'Données projet'!$A$270,$GR$205^A31,IF(A31='Données projet'!$A$270,'Données projet'!$B$270,GU30+GT31-HC30)))</f>
        <v>120.49999999999996</v>
      </c>
      <c r="GV31" s="18">
        <f>GU31*VLOOKUP('Données projet'!$B$18,Paramètres!$A$1:$I$89,3,0)*VLOOKUP('Données projet'!$B$18,Paramètres!$A$1:$I$89,5,0)</f>
        <v>93.989999999999966</v>
      </c>
      <c r="GW31" s="14">
        <f t="shared" si="51"/>
        <v>25.525074036970054</v>
      </c>
      <c r="GX31" s="22">
        <f t="shared" si="28"/>
        <v>208.15542061438944</v>
      </c>
      <c r="GY31" s="60">
        <f t="shared" si="29"/>
        <v>499.04430950327833</v>
      </c>
      <c r="GZ31" s="60">
        <f ca="1">AVERAGE(OFFSET($GY$3,0,0,'Données projet'!$E$18+1,1))-AVERAGE(OFFSET($H$3,0,0,'Données projet'!$E$18+1,1))</f>
        <v>289.19475369871481</v>
      </c>
      <c r="HA31" s="60">
        <f t="shared" si="52"/>
        <v>283.48738729114024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projet'!$B$18,Paramètres!$A$1:$I$89,3,0)*0.475*44/12</f>
        <v>0</v>
      </c>
      <c r="HH31" s="23">
        <f>EXP(-LN(2)/25)*HH30+(1-EXP(-LN(2)/25))/(LN(2)/25)*Calculateur!HC31*Calculateur!HE31*VLOOKUP('Données projet'!$B$18,Paramètres!$A$1:$I$89,3,0)*0.475*44/12</f>
        <v>0</v>
      </c>
      <c r="HI31" s="23">
        <f>EXP(-LN(2)/2)*HI30+(1-EXP(-LN(2)/2))/(LN(2)/2)*HC31*HF31*VLOOKUP('Données projet'!$B$18,Paramètres!$A$1:$I$89,3,0)*0.475*44/12</f>
        <v>0</v>
      </c>
      <c r="HJ31" s="24">
        <f t="shared" si="30"/>
        <v>0</v>
      </c>
    </row>
    <row r="32" spans="1:218" s="5" customFormat="1" x14ac:dyDescent="0.3">
      <c r="A32" s="11">
        <f t="shared" si="31"/>
        <v>29</v>
      </c>
      <c r="B32" s="75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8">
        <f t="shared" si="1"/>
        <v>256.66666666666669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</v>
      </c>
      <c r="O32" s="14">
        <f>N32*VLOOKUP('Données projet'!$B$9,Paramètres!$A$1:$I$89,3,0)*VLOOKUP('Données projet'!$B$9,Paramètres!$A$1:$I$89,5,0)</f>
        <v>87.048000000000002</v>
      </c>
      <c r="P32" s="14">
        <f t="shared" si="33"/>
        <v>23.851897708444891</v>
      </c>
      <c r="Q32" s="22">
        <f t="shared" si="2"/>
        <v>193.15065517554152</v>
      </c>
      <c r="R32" s="60">
        <f t="shared" si="0"/>
        <v>485.26176628665269</v>
      </c>
      <c r="S32" s="60">
        <f ca="1">AVERAGE(OFFSET($R$3,0,0,'Données projet'!$E$9+1,1))-AVERAGE(OFFSET($H$3,0,0,'Données projet'!$E$9+1,1))</f>
        <v>456.86147223520601</v>
      </c>
      <c r="T32" s="60">
        <f t="shared" si="34"/>
        <v>244.45149244446094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4</v>
      </c>
      <c r="AI32" s="14">
        <f>IF('Données projet'!$A$62&gt;35,AI31+AH32-AQ31,IF(A32&lt;'Données projet'!$A$62,$AF$205^A32,IF(A32='Données projet'!$A$62,'Données projet'!$B$62,AI31+AH32-AQ31)))</f>
        <v>77</v>
      </c>
      <c r="AJ32" s="14">
        <f>AI32*VLOOKUP('Données projet'!$B$10,Paramètres!$A$1:$I$89,3,0)*VLOOKUP('Données projet'!$B$10,Paramètres!$A$1:$I$89,5,0)</f>
        <v>50.450399999999995</v>
      </c>
      <c r="AK32" s="14">
        <f t="shared" si="35"/>
        <v>14.730016649594965</v>
      </c>
      <c r="AL32" s="22">
        <f t="shared" si="4"/>
        <v>113.52255899804454</v>
      </c>
      <c r="AM32" s="60">
        <f t="shared" si="5"/>
        <v>405.63367010915567</v>
      </c>
      <c r="AN32" s="60">
        <f ca="1">AVERAGE(OFFSET($AM$3,0,0,'Données projet'!$E$10+1,1))-AVERAGE(OFFSET($H$3,0,0,'Données projet'!$E$10+1,1))</f>
        <v>170.79567854714986</v>
      </c>
      <c r="AO32" s="60">
        <f t="shared" si="36"/>
        <v>155.92788004111191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8.8000000000000007</v>
      </c>
      <c r="BD32" s="13">
        <f>IF('Données projet'!$A$88&gt;35,BD31+BC32-BL31,IF(A32&lt;'Données projet'!$A$88,$BA$205^A32,IF(A32='Données projet'!$A$88,'Données projet'!$B$88,BD31+BC32-BL31)))</f>
        <v>137.19999999999999</v>
      </c>
      <c r="BE32" s="14">
        <f>BD32*VLOOKUP('Données projet'!$B$11,Paramètres!$A$1:$I$89,3,0)*VLOOKUP('Données projet'!$B$11,Paramètres!$A$1:$I$89,5,0)</f>
        <v>111.29664</v>
      </c>
      <c r="BF32" s="14">
        <f t="shared" si="37"/>
        <v>29.636274399319777</v>
      </c>
      <c r="BG32" s="22">
        <f t="shared" si="7"/>
        <v>245.45815924548194</v>
      </c>
      <c r="BH32" s="60">
        <f t="shared" si="8"/>
        <v>537.56927035659305</v>
      </c>
      <c r="BI32" s="60">
        <f ca="1">AVERAGE(OFFSET($BH$3,0,0,'Données projet'!$E$11+1,1))-AVERAGE(OFFSET($H$3,0,0,'Données projet'!$E$11+1,1))</f>
        <v>256.19915261735281</v>
      </c>
      <c r="BJ32" s="60">
        <f t="shared" si="38"/>
        <v>297.47246687305056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6.2820512820512819</v>
      </c>
      <c r="BY32" s="13">
        <f>IF('Données projet'!$A$114&gt;35,BY31+BX32-CG31,IF(A32&lt;'Données projet'!$A$114,$BV$205^A32,IF(A32='Données projet'!$A$114,'Données projet'!$B$114,BY31+BX32-CG31)))</f>
        <v>92.435897435897473</v>
      </c>
      <c r="BZ32" s="14">
        <f>BY32*VLOOKUP('Données projet'!$B$12,Paramètres!$A$1:$I$89,3,0)*VLOOKUP('Données projet'!$B$12,Paramètres!$A$1:$I$89,5,0)</f>
        <v>87.962000000000032</v>
      </c>
      <c r="CA32" s="14">
        <f t="shared" si="39"/>
        <v>24.073055170979362</v>
      </c>
      <c r="CB32" s="22">
        <f t="shared" si="10"/>
        <v>195.12772108945578</v>
      </c>
      <c r="CC32" s="60">
        <f t="shared" si="11"/>
        <v>487.23883220056689</v>
      </c>
      <c r="CD32" s="60">
        <f ca="1">AVERAGE(OFFSET($CC$3,0,0,'Données projet'!$E$12+1,1))-AVERAGE(OFFSET($H$3,0,0,'Données projet'!$E$12+1,1))</f>
        <v>353.53401919391234</v>
      </c>
      <c r="CE32" s="60">
        <f t="shared" si="40"/>
        <v>244.7141066773861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</v>
      </c>
      <c r="CT32" s="13">
        <f>IF('Données projet'!$A$140&gt;35,CT31+CS32-DB31,IF(A32&lt;'Données projet'!$A$140,$CQ$205^A32,IF(A32='Données projet'!$A$140,'Données projet'!$B$140,CT31+CS32-DB31)))</f>
        <v>90</v>
      </c>
      <c r="CU32" s="18">
        <f>CT32*VLOOKUP('Données projet'!$B$13,Paramètres!$A$1:$I$89,3,0)*VLOOKUP('Données projet'!$B$13,Paramètres!$A$1:$I$89,5,0)</f>
        <v>75.816000000000003</v>
      </c>
      <c r="CV32" s="14">
        <f t="shared" si="41"/>
        <v>21.110998140607162</v>
      </c>
      <c r="CW32" s="22">
        <f t="shared" si="13"/>
        <v>168.81452176155747</v>
      </c>
      <c r="CX32" s="60">
        <f t="shared" si="14"/>
        <v>460.92563287266864</v>
      </c>
      <c r="CY32" s="60">
        <f ca="1">AVERAGE(OFFSET($CX$3,0,0,'Données projet'!$E$13+1,1))-AVERAGE(OFFSET($H$3,0,0,'Données projet'!$E$13+1,1))</f>
        <v>403.33327536410098</v>
      </c>
      <c r="CZ32" s="60">
        <f t="shared" si="42"/>
        <v>218.26721063098552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12</v>
      </c>
      <c r="DO32" s="13">
        <f>IF('Données projet'!$A$166&gt;35,DO31+DN32-DW31,IF(A32&lt;'Données projet'!$A$166,$DL$205^A32,IF(A32='Données projet'!$A$166,'Données projet'!$B$166,DO31+DN32-DW31)))</f>
        <v>134.5</v>
      </c>
      <c r="DP32" s="18">
        <f>DO32*VLOOKUP('Données projet'!$B$14,Paramètres!$A$1:$I$89,3,0)*VLOOKUP('Données projet'!$B$14,Paramètres!$A$1:$I$89,5,0)</f>
        <v>107.0082</v>
      </c>
      <c r="DQ32" s="14">
        <f t="shared" si="43"/>
        <v>28.624965901970803</v>
      </c>
      <c r="DR32" s="22">
        <f t="shared" si="16"/>
        <v>236.22776394593248</v>
      </c>
      <c r="DS32" s="60">
        <f t="shared" si="17"/>
        <v>528.33887505704365</v>
      </c>
      <c r="DT32" s="60">
        <f ca="1">AVERAGE(OFFSET($DS$3,0,0,'Données projet'!$E$14+1,1))-AVERAGE(OFFSET($H$3,0,0,'Données projet'!$E$14+1,1))</f>
        <v>317.13087551964747</v>
      </c>
      <c r="DU32" s="60">
        <f t="shared" si="44"/>
        <v>293.43300041793185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9.64</v>
      </c>
      <c r="EJ32" s="13">
        <f>IF('Données projet'!$A$192&gt;35,EJ31+EI32-ER31,IF(A32&lt;'Données projet'!$A$192,$EG$205^A32,IF(A32='Données projet'!$A$192,'Données projet'!$B$192,EJ31+EI32-ER31)))</f>
        <v>103.86000000000003</v>
      </c>
      <c r="EK32" s="18">
        <f>EJ32*VLOOKUP('Données projet'!$B$15,Paramètres!$A$1:$I$89,3,0)*VLOOKUP('Données projet'!$B$15,Paramètres!$A$1:$I$89,5,0)</f>
        <v>82.631016000000031</v>
      </c>
      <c r="EL32" s="14">
        <f t="shared" si="45"/>
        <v>22.779264719214567</v>
      </c>
      <c r="EM32" s="22">
        <f t="shared" si="19"/>
        <v>183.58957225263211</v>
      </c>
      <c r="EN32" s="60">
        <f t="shared" si="20"/>
        <v>475.70068336374322</v>
      </c>
      <c r="EO32" s="60">
        <f ca="1">AVERAGE(OFFSET($EN$3,0,0,'Données projet'!$E$15+1,1))-AVERAGE(OFFSET($H$3,0,0,'Données projet'!$E$15+1,1))</f>
        <v>253.03289960511904</v>
      </c>
      <c r="EP32" s="60">
        <f t="shared" si="46"/>
        <v>236.85088713056018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9.64</v>
      </c>
      <c r="FE32" s="13">
        <f>IF('Données projet'!$A$218&gt;35,FE31+FD32-FM31,IF(A32&lt;'Données projet'!$A$218,$FB$205^A32,IF(A32='Données projet'!$A$218,'Données projet'!$B$218,FE31+FD32-FM31)))</f>
        <v>103.86000000000003</v>
      </c>
      <c r="FF32" s="18">
        <f>FE32*VLOOKUP('Données projet'!$B$16,Paramètres!$A$1:$I$89,3,0)*VLOOKUP('Données projet'!$B$16,Paramètres!$A$1:$I$89,5,0)</f>
        <v>90.732096000000041</v>
      </c>
      <c r="FG32" s="14">
        <f t="shared" si="47"/>
        <v>24.741705582962016</v>
      </c>
      <c r="FH32" s="22">
        <f t="shared" si="22"/>
        <v>201.11687109032559</v>
      </c>
      <c r="FI32" s="60">
        <f t="shared" si="23"/>
        <v>493.2279822014367</v>
      </c>
      <c r="FJ32" s="60">
        <f ca="1">AVERAGE(OFFSET($FI$3,0,0,'Données projet'!$E$16+1,1))-AVERAGE(OFFSET($H$3,0,0,'Données projet'!$E$16+1,1))</f>
        <v>274.38315511766132</v>
      </c>
      <c r="FK32" s="60">
        <f t="shared" si="48"/>
        <v>255.96663040027175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12.333333333333334</v>
      </c>
      <c r="FZ32" s="13">
        <f>IF('Données projet'!$A$244&gt;35,FZ31+FY32-GH31,IF(A32&lt;'Données projet'!$A$244,$FW$205^A32,IF(A32='Données projet'!$A$244,'Données projet'!$B$244,FZ31+FY32-GH31)))</f>
        <v>89.666666666666657</v>
      </c>
      <c r="GA32" s="18">
        <f>FZ32*VLOOKUP('Données projet'!$B$17,Paramètres!$A$1:$I$89,3,0)*VLOOKUP('Données projet'!$B$17,Paramètres!$A$1:$I$89,5,0)</f>
        <v>76.933999999999997</v>
      </c>
      <c r="GB32" s="14">
        <f t="shared" si="49"/>
        <v>21.385834734197029</v>
      </c>
      <c r="GC32" s="22">
        <f t="shared" si="25"/>
        <v>171.24037882872651</v>
      </c>
      <c r="GD32" s="60">
        <f t="shared" si="26"/>
        <v>463.35148993983762</v>
      </c>
      <c r="GE32" s="60">
        <f ca="1">AVERAGE(OFFSET($GD$3,0,0,'Données projet'!$E$17+1,1))-AVERAGE(OFFSET($H$3,0,0,'Données projet'!$E$17+1,1))</f>
        <v>445.81166342116865</v>
      </c>
      <c r="GF32" s="60">
        <f t="shared" si="50"/>
        <v>230.82970731138215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11.5</v>
      </c>
      <c r="GU32" s="13">
        <f>IF('Données projet'!$A$270&gt;35,GU31+GT32-HC31,IF(A32&lt;'Données projet'!$A$270,$GR$205^A32,IF(A32='Données projet'!$A$270,'Données projet'!$B$270,GU31+GT32-HC31)))</f>
        <v>131.99999999999994</v>
      </c>
      <c r="GV32" s="18">
        <f>GU32*VLOOKUP('Données projet'!$B$18,Paramètres!$A$1:$I$89,3,0)*VLOOKUP('Données projet'!$B$18,Paramètres!$A$1:$I$89,5,0)</f>
        <v>102.95999999999997</v>
      </c>
      <c r="GW32" s="14">
        <f t="shared" si="51"/>
        <v>27.665975080374633</v>
      </c>
      <c r="GX32" s="22">
        <f t="shared" si="28"/>
        <v>227.50690659831903</v>
      </c>
      <c r="GY32" s="60">
        <f t="shared" si="29"/>
        <v>519.61801770943021</v>
      </c>
      <c r="GZ32" s="60">
        <f ca="1">AVERAGE(OFFSET($GY$3,0,0,'Données projet'!$E$18+1,1))-AVERAGE(OFFSET($H$3,0,0,'Données projet'!$E$18+1,1))</f>
        <v>289.19475369871481</v>
      </c>
      <c r="HA32" s="60">
        <f t="shared" si="52"/>
        <v>283.48738729114024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projet'!$B$18,Paramètres!$A$1:$I$89,3,0)*0.475*44/12</f>
        <v>0</v>
      </c>
      <c r="HH32" s="23">
        <f>EXP(-LN(2)/25)*HH31+(1-EXP(-LN(2)/25))/(LN(2)/25)*Calculateur!HC32*Calculateur!HE32*VLOOKUP('Données projet'!$B$18,Paramètres!$A$1:$I$89,3,0)*0.475*44/12</f>
        <v>0</v>
      </c>
      <c r="HI32" s="23">
        <f>EXP(-LN(2)/2)*HI31+(1-EXP(-LN(2)/2))/(LN(2)/2)*HC32*HF32*VLOOKUP('Données projet'!$B$18,Paramètres!$A$1:$I$89,3,0)*0.475*44/12</f>
        <v>0</v>
      </c>
      <c r="HJ32" s="24">
        <f t="shared" si="30"/>
        <v>0</v>
      </c>
    </row>
    <row r="33" spans="1:218" s="5" customFormat="1" x14ac:dyDescent="0.3">
      <c r="A33" s="11">
        <f t="shared" si="31"/>
        <v>30</v>
      </c>
      <c r="B33" s="75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8">
        <f t="shared" si="1"/>
        <v>256.66666666666669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</v>
      </c>
      <c r="O33" s="14">
        <f>N33*VLOOKUP('Données projet'!$B$9,Paramètres!$A$1:$I$89,3,0)*VLOOKUP('Données projet'!$B$9,Paramètres!$A$1:$I$89,5,0)</f>
        <v>93.818400000000011</v>
      </c>
      <c r="P33" s="14">
        <f t="shared" si="33"/>
        <v>25.483892312609182</v>
      </c>
      <c r="Q33" s="22">
        <f t="shared" si="2"/>
        <v>207.78482577779434</v>
      </c>
      <c r="R33" s="60">
        <f t="shared" si="0"/>
        <v>501.11815911112762</v>
      </c>
      <c r="S33" s="60">
        <f ca="1">AVERAGE(OFFSET($R$3,0,0,'Données projet'!$E$9+1,1))-AVERAGE(OFFSET($H$3,0,0,'Données projet'!$E$9+1,1))</f>
        <v>456.86147223520601</v>
      </c>
      <c r="T33" s="60">
        <f t="shared" si="34"/>
        <v>244.45149244446094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81</v>
      </c>
      <c r="AG33" s="13">
        <f>VLOOKUP(A33,'Données projet'!$A$61:$I$81,9,0)</f>
        <v>4</v>
      </c>
      <c r="AH33" s="13">
        <f t="array" ref="AH33">INDEX(AG:AG,MIN(IF(ISNUMBER(AG33:AG229),ROW(AG33:AG229),"")))</f>
        <v>4</v>
      </c>
      <c r="AI33" s="14">
        <f>IF('Données projet'!$A$62&gt;35,AI32+AH33-AQ32,IF(A33&lt;'Données projet'!$A$62,$AF$205^A33,IF(A33='Données projet'!$A$62,'Données projet'!$B$62,AI32+AH33-AQ32)))</f>
        <v>81</v>
      </c>
      <c r="AJ33" s="14">
        <f>AI33*VLOOKUP('Données projet'!$B$10,Paramètres!$A$1:$I$89,3,0)*VLOOKUP('Données projet'!$B$10,Paramètres!$A$1:$I$89,5,0)</f>
        <v>53.071199999999997</v>
      </c>
      <c r="AK33" s="14">
        <f t="shared" si="35"/>
        <v>15.404137822648016</v>
      </c>
      <c r="AL33" s="22">
        <f t="shared" si="4"/>
        <v>119.26121337444529</v>
      </c>
      <c r="AM33" s="60">
        <f t="shared" si="5"/>
        <v>412.59454670777859</v>
      </c>
      <c r="AN33" s="60">
        <f ca="1">AVERAGE(OFFSET($AM$3,0,0,'Données projet'!$E$10+1,1))-AVERAGE(OFFSET($H$3,0,0,'Données projet'!$E$10+1,1))</f>
        <v>170.79567854714986</v>
      </c>
      <c r="AO33" s="60">
        <f t="shared" si="36"/>
        <v>155.92788004111191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146</v>
      </c>
      <c r="BB33" s="13">
        <f>VLOOKUP(A33,'Données projet'!$A$87:$I$107,9,0)</f>
        <v>8.8000000000000007</v>
      </c>
      <c r="BC33" s="13">
        <f t="array" ref="BC33">INDEX(BB:BB,MIN(IF(ISNUMBER(BB33:BB229),ROW(BB33:BB229),"")))</f>
        <v>8.8000000000000007</v>
      </c>
      <c r="BD33" s="13">
        <f>IF('Données projet'!$A$88&gt;35,BD32+BC33-BL32,IF(A33&lt;'Données projet'!$A$88,$BA$205^A33,IF(A33='Données projet'!$A$88,'Données projet'!$B$88,BD32+BC33-BL32)))</f>
        <v>146</v>
      </c>
      <c r="BE33" s="14">
        <f>BD33*VLOOKUP('Données projet'!$B$11,Paramètres!$A$1:$I$89,3,0)*VLOOKUP('Données projet'!$B$11,Paramètres!$A$1:$I$89,5,0)</f>
        <v>118.43520000000001</v>
      </c>
      <c r="BF33" s="14">
        <f t="shared" si="37"/>
        <v>31.309757056296963</v>
      </c>
      <c r="BG33" s="22">
        <f t="shared" si="7"/>
        <v>260.80580020638394</v>
      </c>
      <c r="BH33" s="60">
        <f t="shared" si="8"/>
        <v>554.13913353971725</v>
      </c>
      <c r="BI33" s="60">
        <f ca="1">AVERAGE(OFFSET($BH$3,0,0,'Données projet'!$E$11+1,1))-AVERAGE(OFFSET($H$3,0,0,'Données projet'!$E$11+1,1))</f>
        <v>256.19915261735281</v>
      </c>
      <c r="BJ33" s="60">
        <f t="shared" si="38"/>
        <v>297.47246687305056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98.717948717948715</v>
      </c>
      <c r="BW33" s="13">
        <f>VLOOKUP(A33,'Données projet'!$A$113:$I$133,9,0)</f>
        <v>6.2820512820512819</v>
      </c>
      <c r="BX33" s="13">
        <f t="array" ref="BX33">INDEX(BW:BW,MIN(IF(ISNUMBER(BW33:BW229),ROW(BW33:BW229),"")))</f>
        <v>6.2820512820512819</v>
      </c>
      <c r="BY33" s="13">
        <f>IF('Données projet'!$A$114&gt;35,BY32+BX33-CG32,IF(A33&lt;'Données projet'!$A$114,$BV$205^A33,IF(A33='Données projet'!$A$114,'Données projet'!$B$114,BY32+BX33-CG32)))</f>
        <v>98.717948717948758</v>
      </c>
      <c r="BZ33" s="14">
        <f>BY33*VLOOKUP('Données projet'!$B$12,Paramètres!$A$1:$I$89,3,0)*VLOOKUP('Données projet'!$B$12,Paramètres!$A$1:$I$89,5,0)</f>
        <v>93.94000000000004</v>
      </c>
      <c r="CA33" s="14">
        <f t="shared" si="39"/>
        <v>25.513075604240793</v>
      </c>
      <c r="CB33" s="22">
        <f t="shared" si="10"/>
        <v>208.04744001071947</v>
      </c>
      <c r="CC33" s="60">
        <f t="shared" si="11"/>
        <v>501.38077334405278</v>
      </c>
      <c r="CD33" s="60">
        <f ca="1">AVERAGE(OFFSET($CC$3,0,0,'Données projet'!$E$12+1,1))-AVERAGE(OFFSET($H$3,0,0,'Données projet'!$E$12+1,1))</f>
        <v>353.53401919391234</v>
      </c>
      <c r="CE33" s="60">
        <f t="shared" si="40"/>
        <v>244.7141066773861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97</v>
      </c>
      <c r="CR33" s="13">
        <f>VLOOKUP(A33,'Données projet'!$A$139:$I$159,9,0)</f>
        <v>7</v>
      </c>
      <c r="CS33" s="13">
        <f t="array" ref="CS33">INDEX(CR:CR,MIN(IF(ISNUMBER(CR33:CR229),ROW(CR33:CR229),"")))</f>
        <v>7</v>
      </c>
      <c r="CT33" s="13">
        <f>IF('Données projet'!$A$140&gt;35,CT32+CS33-DB32,IF(A33&lt;'Données projet'!$A$140,$CQ$205^A33,IF(A33='Données projet'!$A$140,'Données projet'!$B$140,CT32+CS33-DB32)))</f>
        <v>97</v>
      </c>
      <c r="CU33" s="18">
        <f>CT33*VLOOKUP('Données projet'!$B$13,Paramètres!$A$1:$I$89,3,0)*VLOOKUP('Données projet'!$B$13,Paramètres!$A$1:$I$89,5,0)</f>
        <v>81.712800000000001</v>
      </c>
      <c r="CV33" s="14">
        <f t="shared" si="41"/>
        <v>22.55545490774292</v>
      </c>
      <c r="CW33" s="22">
        <f t="shared" si="13"/>
        <v>181.60054396431892</v>
      </c>
      <c r="CX33" s="60">
        <f t="shared" si="14"/>
        <v>474.9338772976522</v>
      </c>
      <c r="CY33" s="60">
        <f ca="1">AVERAGE(OFFSET($CX$3,0,0,'Données projet'!$E$13+1,1))-AVERAGE(OFFSET($H$3,0,0,'Données projet'!$E$13+1,1))</f>
        <v>403.33327536410098</v>
      </c>
      <c r="CZ33" s="60">
        <f t="shared" si="42"/>
        <v>218.26721063098552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146.5</v>
      </c>
      <c r="DM33" s="13">
        <f>VLOOKUP(A33,'Données projet'!$A$165:$I$185,9,0)</f>
        <v>12</v>
      </c>
      <c r="DN33" s="13">
        <f t="array" ref="DN33">INDEX(DM:DM,MIN(IF(ISNUMBER(DM33:DM229),ROW(DM33:DM229),"")))</f>
        <v>12</v>
      </c>
      <c r="DO33" s="13">
        <f>IF('Données projet'!$A$166&gt;35,DO32+DN33-DW32,IF(A33&lt;'Données projet'!$A$166,$DL$205^A33,IF(A33='Données projet'!$A$166,'Données projet'!$B$166,DO32+DN33-DW32)))</f>
        <v>146.5</v>
      </c>
      <c r="DP33" s="18">
        <f>DO33*VLOOKUP('Données projet'!$B$14,Paramètres!$A$1:$I$89,3,0)*VLOOKUP('Données projet'!$B$14,Paramètres!$A$1:$I$89,5,0)</f>
        <v>116.55540000000001</v>
      </c>
      <c r="DQ33" s="14">
        <f t="shared" si="43"/>
        <v>30.870246172975257</v>
      </c>
      <c r="DR33" s="22">
        <f t="shared" si="16"/>
        <v>256.76633375126522</v>
      </c>
      <c r="DS33" s="60">
        <f t="shared" si="17"/>
        <v>550.09966708459854</v>
      </c>
      <c r="DT33" s="60">
        <f ca="1">AVERAGE(OFFSET($DS$3,0,0,'Données projet'!$E$14+1,1))-AVERAGE(OFFSET($H$3,0,0,'Données projet'!$E$14+1,1))</f>
        <v>317.13087551964747</v>
      </c>
      <c r="DU33" s="60">
        <f t="shared" si="44"/>
        <v>293.43300041793185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113.5</v>
      </c>
      <c r="EH33" s="13">
        <f>VLOOKUP(A33,'Données projet'!$A$191:$I$211,9,0)</f>
        <v>9.64</v>
      </c>
      <c r="EI33" s="13">
        <f t="array" ref="EI33">INDEX(EH:EH,MIN(IF(ISNUMBER(EH33:EH229),ROW(EH33:EH229),"")))</f>
        <v>9.64</v>
      </c>
      <c r="EJ33" s="13">
        <f>IF('Données projet'!$A$192&gt;35,EJ32+EI33-ER32,IF(A33&lt;'Données projet'!$A$192,$EG$205^A33,IF(A33='Données projet'!$A$192,'Données projet'!$B$192,EJ32+EI33-ER32)))</f>
        <v>113.50000000000003</v>
      </c>
      <c r="EK33" s="18">
        <f>EJ33*VLOOKUP('Données projet'!$B$15,Paramètres!$A$1:$I$89,3,0)*VLOOKUP('Données projet'!$B$15,Paramètres!$A$1:$I$89,5,0)</f>
        <v>90.300600000000017</v>
      </c>
      <c r="EL33" s="14">
        <f t="shared" si="45"/>
        <v>24.637708400321639</v>
      </c>
      <c r="EM33" s="22">
        <f t="shared" si="19"/>
        <v>200.18422046389355</v>
      </c>
      <c r="EN33" s="60">
        <f t="shared" si="20"/>
        <v>493.51755379722687</v>
      </c>
      <c r="EO33" s="60">
        <f ca="1">AVERAGE(OFFSET($EN$3,0,0,'Données projet'!$E$15+1,1))-AVERAGE(OFFSET($H$3,0,0,'Données projet'!$E$15+1,1))</f>
        <v>253.03289960511904</v>
      </c>
      <c r="EP33" s="60">
        <f t="shared" si="46"/>
        <v>236.85088713056018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113.5</v>
      </c>
      <c r="FC33" s="13">
        <f>VLOOKUP(A33,'Données projet'!$A$217:$I$237,9,0)</f>
        <v>9.64</v>
      </c>
      <c r="FD33" s="13">
        <f t="array" ref="FD33">INDEX(FC:FC,MIN(IF(ISNUMBER(FC33:FC229),ROW(FC33:FC229),"")))</f>
        <v>9.64</v>
      </c>
      <c r="FE33" s="13">
        <f>IF('Données projet'!$A$218&gt;35,FE32+FD33-FM32,IF(A33&lt;'Données projet'!$A$218,$FB$205^A33,IF(A33='Données projet'!$A$218,'Données projet'!$B$218,FE32+FD33-FM32)))</f>
        <v>113.50000000000003</v>
      </c>
      <c r="FF33" s="18">
        <f>FE33*VLOOKUP('Données projet'!$B$16,Paramètres!$A$1:$I$89,3,0)*VLOOKUP('Données projet'!$B$16,Paramètres!$A$1:$I$89,5,0)</f>
        <v>99.15360000000004</v>
      </c>
      <c r="FG33" s="14">
        <f t="shared" si="47"/>
        <v>26.760254775275591</v>
      </c>
      <c r="FH33" s="22">
        <f t="shared" si="22"/>
        <v>219.29996373360507</v>
      </c>
      <c r="FI33" s="60">
        <f t="shared" si="23"/>
        <v>512.63329706693844</v>
      </c>
      <c r="FJ33" s="60">
        <f ca="1">AVERAGE(OFFSET($FI$3,0,0,'Données projet'!$E$16+1,1))-AVERAGE(OFFSET($H$3,0,0,'Données projet'!$E$16+1,1))</f>
        <v>274.38315511766132</v>
      </c>
      <c r="FK33" s="60">
        <f t="shared" si="48"/>
        <v>255.96663040027175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102</v>
      </c>
      <c r="FX33" s="13">
        <f>VLOOKUP(A33,'Données projet'!$A$243:$I$263,9,0)</f>
        <v>12.333333333333334</v>
      </c>
      <c r="FY33" s="13">
        <f t="array" ref="FY33">INDEX(FX:FX,MIN(IF(ISNUMBER(FX33:FX229),ROW(FX33:FX229),"")))</f>
        <v>12.333333333333334</v>
      </c>
      <c r="FZ33" s="13">
        <f>IF('Données projet'!$A$244&gt;35,FZ32+FY33-GH32,IF(A33&lt;'Données projet'!$A$244,$FW$205^A33,IF(A33='Données projet'!$A$244,'Données projet'!$B$244,FZ32+FY33-GH32)))</f>
        <v>101.99999999999999</v>
      </c>
      <c r="GA33" s="18">
        <f>FZ33*VLOOKUP('Données projet'!$B$17,Paramètres!$A$1:$I$89,3,0)*VLOOKUP('Données projet'!$B$17,Paramètres!$A$1:$I$89,5,0)</f>
        <v>87.515999999999991</v>
      </c>
      <c r="GB33" s="14">
        <f t="shared" si="49"/>
        <v>23.965171662037644</v>
      </c>
      <c r="GC33" s="22">
        <f t="shared" si="25"/>
        <v>194.16304064471555</v>
      </c>
      <c r="GD33" s="60">
        <f t="shared" si="26"/>
        <v>487.49637397804884</v>
      </c>
      <c r="GE33" s="60">
        <f ca="1">AVERAGE(OFFSET($GD$3,0,0,'Données projet'!$E$17+1,1))-AVERAGE(OFFSET($H$3,0,0,'Données projet'!$E$17+1,1))</f>
        <v>445.81166342116865</v>
      </c>
      <c r="GF33" s="60">
        <f t="shared" si="50"/>
        <v>230.82970731138215</v>
      </c>
      <c r="GG33" s="16">
        <f>IF(ISNA(VLOOKUP(A33,'Données projet'!$A$243:$I$263,3,0)),0,VLOOKUP(A33,'Données projet'!$A$243:$I$263,3,0))</f>
        <v>2</v>
      </c>
      <c r="GH33" s="16">
        <f>IF(ISNA(VLOOKUP(A33,'Données projet'!$A$243:$I$263,4,0)),0,VLOOKUP(A33,'Données projet'!$A$243:$I$263,4,0))</f>
        <v>13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11.5</v>
      </c>
      <c r="GU33" s="13">
        <f>IF('Données projet'!$A$270&gt;35,GU32+GT33-HC32,IF(A33&lt;'Données projet'!$A$270,$GR$205^A33,IF(A33='Données projet'!$A$270,'Données projet'!$B$270,GU32+GT33-HC32)))</f>
        <v>143.49999999999994</v>
      </c>
      <c r="GV33" s="18">
        <f>GU33*VLOOKUP('Données projet'!$B$18,Paramètres!$A$1:$I$89,3,0)*VLOOKUP('Données projet'!$B$18,Paramètres!$A$1:$I$89,5,0)</f>
        <v>111.92999999999996</v>
      </c>
      <c r="GW33" s="14">
        <f t="shared" si="51"/>
        <v>29.785246291563833</v>
      </c>
      <c r="GX33" s="22">
        <f t="shared" si="28"/>
        <v>246.82072062447358</v>
      </c>
      <c r="GY33" s="60">
        <f t="shared" si="29"/>
        <v>540.15405395780692</v>
      </c>
      <c r="GZ33" s="60">
        <f ca="1">AVERAGE(OFFSET($GY$3,0,0,'Données projet'!$E$18+1,1))-AVERAGE(OFFSET($H$3,0,0,'Données projet'!$E$18+1,1))</f>
        <v>289.19475369871481</v>
      </c>
      <c r="HA33" s="60">
        <f t="shared" si="52"/>
        <v>283.48738729114024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projet'!$B$18,Paramètres!$A$1:$I$89,3,0)*0.475*44/12</f>
        <v>0</v>
      </c>
      <c r="HH33" s="23">
        <f>EXP(-LN(2)/25)*HH32+(1-EXP(-LN(2)/25))/(LN(2)/25)*Calculateur!HC33*Calculateur!HE33*VLOOKUP('Données projet'!$B$18,Paramètres!$A$1:$I$89,3,0)*0.475*44/12</f>
        <v>0</v>
      </c>
      <c r="HI33" s="23">
        <f>EXP(-LN(2)/2)*HI32+(1-EXP(-LN(2)/2))/(LN(2)/2)*HC33*HF33*VLOOKUP('Données projet'!$B$18,Paramètres!$A$1:$I$89,3,0)*0.475*44/12</f>
        <v>0</v>
      </c>
      <c r="HJ33" s="24">
        <f t="shared" si="30"/>
        <v>0</v>
      </c>
    </row>
    <row r="34" spans="1:218" s="5" customFormat="1" x14ac:dyDescent="0.3">
      <c r="A34" s="11">
        <f t="shared" si="31"/>
        <v>31</v>
      </c>
      <c r="B34" s="75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8">
        <f t="shared" si="1"/>
        <v>256.66666666666669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105</v>
      </c>
      <c r="O34" s="14">
        <f>N34*VLOOKUP('Données projet'!$B$9,Paramètres!$A$1:$I$89,3,0)*VLOOKUP('Données projet'!$B$9,Paramètres!$A$1:$I$89,5,0)</f>
        <v>101.556</v>
      </c>
      <c r="P34" s="14">
        <f t="shared" si="33"/>
        <v>27.332359320696909</v>
      </c>
      <c r="Q34" s="22">
        <f t="shared" si="2"/>
        <v>224.48055915021379</v>
      </c>
      <c r="R34" s="60">
        <f t="shared" si="0"/>
        <v>517.81389248354708</v>
      </c>
      <c r="S34" s="60">
        <f ca="1">AVERAGE(OFFSET($R$3,0,0,'Données projet'!$E$9+1,1))-AVERAGE(OFFSET($H$3,0,0,'Données projet'!$E$9+1,1))</f>
        <v>456.86147223520601</v>
      </c>
      <c r="T34" s="60">
        <f t="shared" si="34"/>
        <v>244.45149244446094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3.2</v>
      </c>
      <c r="AI34" s="14">
        <f>IF('Données projet'!$A$62&gt;35,AI33+AH34-AQ33,IF(A34&lt;'Données projet'!$A$62,$AF$205^A34,IF(A34='Données projet'!$A$62,'Données projet'!$B$62,AI33+AH34-AQ33)))</f>
        <v>84.2</v>
      </c>
      <c r="AJ34" s="14">
        <f>AI34*VLOOKUP('Données projet'!$B$10,Paramètres!$A$1:$I$89,3,0)*VLOOKUP('Données projet'!$B$10,Paramètres!$A$1:$I$89,5,0)</f>
        <v>55.167839999999998</v>
      </c>
      <c r="AK34" s="14">
        <f t="shared" si="35"/>
        <v>15.940641583495875</v>
      </c>
      <c r="AL34" s="22">
        <f t="shared" si="4"/>
        <v>123.84727209125531</v>
      </c>
      <c r="AM34" s="60">
        <f t="shared" si="5"/>
        <v>417.18060542458863</v>
      </c>
      <c r="AN34" s="60">
        <f ca="1">AVERAGE(OFFSET($AM$3,0,0,'Données projet'!$E$10+1,1))-AVERAGE(OFFSET($H$3,0,0,'Données projet'!$E$10+1,1))</f>
        <v>170.79567854714986</v>
      </c>
      <c r="AO34" s="60">
        <f t="shared" si="36"/>
        <v>155.92788004111191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8.8000000000000007</v>
      </c>
      <c r="BD34" s="13">
        <f>IF('Données projet'!$A$88&gt;35,BD33+BC34-BL33,IF(A34&lt;'Données projet'!$A$88,$BA$205^A34,IF(A34='Données projet'!$A$88,'Données projet'!$B$88,BD33+BC34-BL33)))</f>
        <v>154.80000000000001</v>
      </c>
      <c r="BE34" s="14">
        <f>BD34*VLOOKUP('Données projet'!$B$11,Paramètres!$A$1:$I$89,3,0)*VLOOKUP('Données projet'!$B$11,Paramètres!$A$1:$I$89,5,0)</f>
        <v>125.57376000000002</v>
      </c>
      <c r="BF34" s="14">
        <f t="shared" si="37"/>
        <v>32.97153235129214</v>
      </c>
      <c r="BG34" s="22">
        <f t="shared" si="7"/>
        <v>276.13305084516719</v>
      </c>
      <c r="BH34" s="60">
        <f t="shared" si="8"/>
        <v>569.46638417850045</v>
      </c>
      <c r="BI34" s="60">
        <f ca="1">AVERAGE(OFFSET($BH$3,0,0,'Données projet'!$E$11+1,1))-AVERAGE(OFFSET($H$3,0,0,'Données projet'!$E$11+1,1))</f>
        <v>256.19915261735281</v>
      </c>
      <c r="BJ34" s="60">
        <f t="shared" si="38"/>
        <v>297.47246687305056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6.1538461538461515</v>
      </c>
      <c r="BY34" s="13">
        <f>IF('Données projet'!$A$114&gt;35,BY33+BX34-CG33,IF(A34&lt;'Données projet'!$A$114,$BV$205^A34,IF(A34='Données projet'!$A$114,'Données projet'!$B$114,BY33+BX34-CG33)))</f>
        <v>104.8717948717949</v>
      </c>
      <c r="BZ34" s="14">
        <f>BY34*VLOOKUP('Données projet'!$B$12,Paramètres!$A$1:$I$89,3,0)*VLOOKUP('Données projet'!$B$12,Paramètres!$A$1:$I$89,5,0)</f>
        <v>99.796000000000035</v>
      </c>
      <c r="CA34" s="14">
        <f t="shared" si="39"/>
        <v>26.913391586854008</v>
      </c>
      <c r="CB34" s="22">
        <f t="shared" si="10"/>
        <v>220.68552368043743</v>
      </c>
      <c r="CC34" s="60">
        <f t="shared" si="11"/>
        <v>514.01885701377068</v>
      </c>
      <c r="CD34" s="60">
        <f ca="1">AVERAGE(OFFSET($CC$3,0,0,'Données projet'!$E$12+1,1))-AVERAGE(OFFSET($H$3,0,0,'Données projet'!$E$12+1,1))</f>
        <v>353.53401919391234</v>
      </c>
      <c r="CE34" s="60">
        <f t="shared" si="40"/>
        <v>244.7141066773861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</v>
      </c>
      <c r="CT34" s="13">
        <f>IF('Données projet'!$A$140&gt;35,CT33+CS34-DB33,IF(A34&lt;'Données projet'!$A$140,$CQ$205^A34,IF(A34='Données projet'!$A$140,'Données projet'!$B$140,CT33+CS34-DB33)))</f>
        <v>105</v>
      </c>
      <c r="CU34" s="18">
        <f>CT34*VLOOKUP('Données projet'!$B$13,Paramètres!$A$1:$I$89,3,0)*VLOOKUP('Données projet'!$B$13,Paramètres!$A$1:$I$89,5,0)</f>
        <v>88.452000000000012</v>
      </c>
      <c r="CV34" s="14">
        <f t="shared" si="41"/>
        <v>24.191508526943956</v>
      </c>
      <c r="CW34" s="22">
        <f t="shared" si="13"/>
        <v>196.18744401776075</v>
      </c>
      <c r="CX34" s="60">
        <f t="shared" si="14"/>
        <v>489.52077735109407</v>
      </c>
      <c r="CY34" s="60">
        <f ca="1">AVERAGE(OFFSET($CX$3,0,0,'Données projet'!$E$13+1,1))-AVERAGE(OFFSET($H$3,0,0,'Données projet'!$E$13+1,1))</f>
        <v>403.33327536410098</v>
      </c>
      <c r="CZ34" s="60">
        <f t="shared" si="42"/>
        <v>218.26721063098552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10.780000000000001</v>
      </c>
      <c r="DO34" s="13">
        <f>IF('Données projet'!$A$166&gt;35,DO33+DN34-DW33,IF(A34&lt;'Données projet'!$A$166,$DL$205^A34,IF(A34='Données projet'!$A$166,'Données projet'!$B$166,DO33+DN34-DW33)))</f>
        <v>157.28</v>
      </c>
      <c r="DP34" s="18">
        <f>DO34*VLOOKUP('Données projet'!$B$14,Paramètres!$A$1:$I$89,3,0)*VLOOKUP('Données projet'!$B$14,Paramètres!$A$1:$I$89,5,0)</f>
        <v>125.131968</v>
      </c>
      <c r="DQ34" s="14">
        <f t="shared" si="43"/>
        <v>32.869013714969185</v>
      </c>
      <c r="DR34" s="22">
        <f t="shared" si="16"/>
        <v>275.18504315357131</v>
      </c>
      <c r="DS34" s="60">
        <f t="shared" si="17"/>
        <v>568.51837648690457</v>
      </c>
      <c r="DT34" s="60">
        <f ca="1">AVERAGE(OFFSET($DS$3,0,0,'Données projet'!$E$14+1,1))-AVERAGE(OFFSET($H$3,0,0,'Données projet'!$E$14+1,1))</f>
        <v>317.13087551964747</v>
      </c>
      <c r="DU34" s="60">
        <f t="shared" si="44"/>
        <v>293.43300041793185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8.7199999999999989</v>
      </c>
      <c r="EJ34" s="13">
        <f>IF('Données projet'!$A$192&gt;35,EJ33+EI34-ER33,IF(A34&lt;'Données projet'!$A$192,$EG$205^A34,IF(A34='Données projet'!$A$192,'Données projet'!$B$192,EJ33+EI34-ER33)))</f>
        <v>122.22000000000003</v>
      </c>
      <c r="EK34" s="18">
        <f>EJ34*VLOOKUP('Données projet'!$B$15,Paramètres!$A$1:$I$89,3,0)*VLOOKUP('Données projet'!$B$15,Paramètres!$A$1:$I$89,5,0)</f>
        <v>97.238232000000025</v>
      </c>
      <c r="EL34" s="14">
        <f t="shared" si="45"/>
        <v>26.302975815247304</v>
      </c>
      <c r="EM34" s="22">
        <f t="shared" si="19"/>
        <v>215.16760361155573</v>
      </c>
      <c r="EN34" s="60">
        <f t="shared" si="20"/>
        <v>508.50093694488908</v>
      </c>
      <c r="EO34" s="60">
        <f ca="1">AVERAGE(OFFSET($EN$3,0,0,'Données projet'!$E$15+1,1))-AVERAGE(OFFSET($H$3,0,0,'Données projet'!$E$15+1,1))</f>
        <v>253.03289960511904</v>
      </c>
      <c r="EP34" s="60">
        <f t="shared" si="46"/>
        <v>236.85088713056018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8.7199999999999989</v>
      </c>
      <c r="FE34" s="13">
        <f>IF('Données projet'!$A$218&gt;35,FE33+FD34-FM33,IF(A34&lt;'Données projet'!$A$218,$FB$205^A34,IF(A34='Données projet'!$A$218,'Données projet'!$B$218,FE33+FD34-FM33)))</f>
        <v>122.22000000000003</v>
      </c>
      <c r="FF34" s="18">
        <f>FE34*VLOOKUP('Données projet'!$B$16,Paramètres!$A$1:$I$89,3,0)*VLOOKUP('Données projet'!$B$16,Paramètres!$A$1:$I$89,5,0)</f>
        <v>106.77139200000003</v>
      </c>
      <c r="FG34" s="14">
        <f t="shared" si="47"/>
        <v>28.568985504948209</v>
      </c>
      <c r="FH34" s="22">
        <f t="shared" si="22"/>
        <v>235.71782415445148</v>
      </c>
      <c r="FI34" s="60">
        <f t="shared" si="23"/>
        <v>529.05115748778485</v>
      </c>
      <c r="FJ34" s="60">
        <f ca="1">AVERAGE(OFFSET($FI$3,0,0,'Données projet'!$E$16+1,1))-AVERAGE(OFFSET($H$3,0,0,'Données projet'!$E$16+1,1))</f>
        <v>274.38315511766132</v>
      </c>
      <c r="FK34" s="60">
        <f t="shared" si="48"/>
        <v>255.96663040027175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14.166666666666666</v>
      </c>
      <c r="FZ34" s="13">
        <f>IF('Données projet'!$A$244&gt;35,FZ33+FY34-GH33,IF(A34&lt;'Données projet'!$A$244,$FW$205^A34,IF(A34='Données projet'!$A$244,'Données projet'!$B$244,FZ33+FY34-GH33)))</f>
        <v>103.16666666666666</v>
      </c>
      <c r="GA34" s="18">
        <f>FZ34*VLOOKUP('Données projet'!$B$17,Paramètres!$A$1:$I$89,3,0)*VLOOKUP('Données projet'!$B$17,Paramètres!$A$1:$I$89,5,0)</f>
        <v>88.51700000000001</v>
      </c>
      <c r="GB34" s="14">
        <f t="shared" si="49"/>
        <v>24.207215980626653</v>
      </c>
      <c r="GC34" s="22">
        <f t="shared" si="25"/>
        <v>196.32800949959145</v>
      </c>
      <c r="GD34" s="60">
        <f t="shared" si="26"/>
        <v>489.66134283292479</v>
      </c>
      <c r="GE34" s="60">
        <f ca="1">AVERAGE(OFFSET($GD$3,0,0,'Données projet'!$E$17+1,1))-AVERAGE(OFFSET($H$3,0,0,'Données projet'!$E$17+1,1))</f>
        <v>445.81166342116865</v>
      </c>
      <c r="GF34" s="60">
        <f t="shared" si="50"/>
        <v>230.82970731138215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>
        <f>VLOOKUP(A34,'Données projet'!$A$269:$I$289,2,0)</f>
        <v>155</v>
      </c>
      <c r="GS34" s="13">
        <f>VLOOKUP(A34,'Données projet'!$A$269:$I$289,9,0)</f>
        <v>11.5</v>
      </c>
      <c r="GT34" s="13">
        <f t="array" ref="GT34">INDEX(GS:GS,MIN(IF(ISNUMBER(GS34:GS230),ROW(GS34:GS230),"")))</f>
        <v>11.5</v>
      </c>
      <c r="GU34" s="13">
        <f>IF('Données projet'!$A$270&gt;35,GU33+GT34-HC33,IF(A34&lt;'Données projet'!$A$270,$GR$205^A34,IF(A34='Données projet'!$A$270,'Données projet'!$B$270,GU33+GT34-HC33)))</f>
        <v>154.99999999999994</v>
      </c>
      <c r="GV34" s="18">
        <f>GU34*VLOOKUP('Données projet'!$B$18,Paramètres!$A$1:$I$89,3,0)*VLOOKUP('Données projet'!$B$18,Paramètres!$A$1:$I$89,5,0)</f>
        <v>120.89999999999996</v>
      </c>
      <c r="GW34" s="14">
        <f t="shared" si="51"/>
        <v>31.884818143351602</v>
      </c>
      <c r="GX34" s="22">
        <f t="shared" si="28"/>
        <v>266.10022493300397</v>
      </c>
      <c r="GY34" s="60">
        <f t="shared" si="29"/>
        <v>559.43355826633729</v>
      </c>
      <c r="GZ34" s="60">
        <f ca="1">AVERAGE(OFFSET($GY$3,0,0,'Données projet'!$E$18+1,1))-AVERAGE(OFFSET($H$3,0,0,'Données projet'!$E$18+1,1))</f>
        <v>289.19475369871481</v>
      </c>
      <c r="HA34" s="60">
        <f t="shared" si="52"/>
        <v>283.48738729114024</v>
      </c>
      <c r="HB34" s="16">
        <f>IF(ISNA(VLOOKUP(A34,'Données projet'!$A$269:$I$289,3,0)),0,VLOOKUP(A34,'Données projet'!$A$269:$I$289,3,0))</f>
        <v>3</v>
      </c>
      <c r="HC34" s="16">
        <f>IF(ISNA(VLOOKUP(A34,'Données projet'!$A$269:$I$289,4,0)),0,VLOOKUP(A34,'Données projet'!$A$269:$I$289,4,0))</f>
        <v>36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projet'!$B$18,Paramètres!$A$1:$I$89,3,0)*0.475*44/12</f>
        <v>0</v>
      </c>
      <c r="HH34" s="23">
        <f>EXP(-LN(2)/25)*HH33+(1-EXP(-LN(2)/25))/(LN(2)/25)*Calculateur!HC34*Calculateur!HE34*VLOOKUP('Données projet'!$B$18,Paramètres!$A$1:$I$89,3,0)*0.475*44/12</f>
        <v>0</v>
      </c>
      <c r="HI34" s="23">
        <f>EXP(-LN(2)/2)*HI33+(1-EXP(-LN(2)/2))/(LN(2)/2)*HC34*HF34*VLOOKUP('Données projet'!$B$18,Paramètres!$A$1:$I$89,3,0)*0.475*44/12</f>
        <v>0</v>
      </c>
      <c r="HJ34" s="24">
        <f t="shared" si="30"/>
        <v>0</v>
      </c>
    </row>
    <row r="35" spans="1:218" s="5" customFormat="1" x14ac:dyDescent="0.3">
      <c r="A35" s="11">
        <f t="shared" si="31"/>
        <v>32</v>
      </c>
      <c r="B35" s="75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8">
        <f t="shared" si="1"/>
        <v>256.66666666666669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113</v>
      </c>
      <c r="O35" s="14">
        <f>N35*VLOOKUP('Données projet'!$B$9,Paramètres!$A$1:$I$89,3,0)*VLOOKUP('Données projet'!$B$9,Paramètres!$A$1:$I$89,5,0)</f>
        <v>109.29360000000001</v>
      </c>
      <c r="P35" s="14">
        <f t="shared" si="33"/>
        <v>29.16448886924675</v>
      </c>
      <c r="Q35" s="22">
        <f t="shared" ref="Q35:Q66" si="53">(O35+P35)*0.475*44/12</f>
        <v>241.14783811393806</v>
      </c>
      <c r="R35" s="60">
        <f t="shared" si="0"/>
        <v>534.48117144727144</v>
      </c>
      <c r="S35" s="60">
        <f ca="1">AVERAGE(OFFSET($R$3,0,0,'Données projet'!$E$9+1,1))-AVERAGE(OFFSET($H$3,0,0,'Données projet'!$E$9+1,1))</f>
        <v>456.86147223520601</v>
      </c>
      <c r="T35" s="60">
        <f t="shared" si="34"/>
        <v>244.45149244446094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3.2</v>
      </c>
      <c r="AI35" s="14">
        <f>IF('Données projet'!$A$62&gt;35,AI34+AH35-AQ34,IF(A35&lt;'Données projet'!$A$62,$AF$205^A35,IF(A35='Données projet'!$A$62,'Données projet'!$B$62,AI34+AH35-AQ34)))</f>
        <v>87.4</v>
      </c>
      <c r="AJ35" s="14">
        <f>AI35*VLOOKUP('Données projet'!$B$10,Paramètres!$A$1:$I$89,3,0)*VLOOKUP('Données projet'!$B$10,Paramètres!$A$1:$I$89,5,0)</f>
        <v>57.264479999999999</v>
      </c>
      <c r="AK35" s="14">
        <f t="shared" si="35"/>
        <v>16.474776623807379</v>
      </c>
      <c r="AL35" s="22">
        <f t="shared" si="4"/>
        <v>128.42920528646451</v>
      </c>
      <c r="AM35" s="60">
        <f t="shared" si="5"/>
        <v>421.76253861979785</v>
      </c>
      <c r="AN35" s="60">
        <f ca="1">AVERAGE(OFFSET($AM$3,0,0,'Données projet'!$E$10+1,1))-AVERAGE(OFFSET($H$3,0,0,'Données projet'!$E$10+1,1))</f>
        <v>170.79567854714986</v>
      </c>
      <c r="AO35" s="60">
        <f t="shared" si="36"/>
        <v>155.92788004111191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8.8000000000000007</v>
      </c>
      <c r="BD35" s="13">
        <f>IF('Données projet'!$A$88&gt;35,BD34+BC35-BL34,IF(A35&lt;'Données projet'!$A$88,$BA$205^A35,IF(A35='Données projet'!$A$88,'Données projet'!$B$88,BD34+BC35-BL34)))</f>
        <v>163.60000000000002</v>
      </c>
      <c r="BE35" s="14">
        <f>BD35*VLOOKUP('Données projet'!$B$11,Paramètres!$A$1:$I$89,3,0)*VLOOKUP('Données projet'!$B$11,Paramètres!$A$1:$I$89,5,0)</f>
        <v>132.71232000000003</v>
      </c>
      <c r="BF35" s="14">
        <f t="shared" si="37"/>
        <v>34.622341655285041</v>
      </c>
      <c r="BG35" s="22">
        <f t="shared" si="7"/>
        <v>291.44120238295483</v>
      </c>
      <c r="BH35" s="60">
        <f t="shared" si="8"/>
        <v>584.77453571628814</v>
      </c>
      <c r="BI35" s="60">
        <f ca="1">AVERAGE(OFFSET($BH$3,0,0,'Données projet'!$E$11+1,1))-AVERAGE(OFFSET($H$3,0,0,'Données projet'!$E$11+1,1))</f>
        <v>256.19915261735281</v>
      </c>
      <c r="BJ35" s="60">
        <f t="shared" si="38"/>
        <v>297.47246687305056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6.1538461538461515</v>
      </c>
      <c r="BY35" s="13">
        <f>IF('Données projet'!$A$114&gt;35,BY34+BX35-CG34,IF(A35&lt;'Données projet'!$A$114,$BV$205^A35,IF(A35='Données projet'!$A$114,'Données projet'!$B$114,BY34+BX35-CG34)))</f>
        <v>111.02564102564105</v>
      </c>
      <c r="BZ35" s="14">
        <f>BY35*VLOOKUP('Données projet'!$B$12,Paramètres!$A$1:$I$89,3,0)*VLOOKUP('Données projet'!$B$12,Paramètres!$A$1:$I$89,5,0)</f>
        <v>105.65200000000003</v>
      </c>
      <c r="CA35" s="14">
        <f t="shared" si="39"/>
        <v>28.304169779393426</v>
      </c>
      <c r="CB35" s="22">
        <f t="shared" si="10"/>
        <v>233.30699569911027</v>
      </c>
      <c r="CC35" s="60">
        <f t="shared" si="11"/>
        <v>526.64032903244356</v>
      </c>
      <c r="CD35" s="60">
        <f ca="1">AVERAGE(OFFSET($CC$3,0,0,'Données projet'!$E$12+1,1))-AVERAGE(OFFSET($H$3,0,0,'Données projet'!$E$12+1,1))</f>
        <v>353.53401919391234</v>
      </c>
      <c r="CE35" s="60">
        <f t="shared" si="40"/>
        <v>244.7141066773861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</v>
      </c>
      <c r="CT35" s="13">
        <f>IF('Données projet'!$A$140&gt;35,CT34+CS35-DB34,IF(A35&lt;'Données projet'!$A$140,$CQ$205^A35,IF(A35='Données projet'!$A$140,'Données projet'!$B$140,CT34+CS35-DB34)))</f>
        <v>113</v>
      </c>
      <c r="CU35" s="18">
        <f>CT35*VLOOKUP('Données projet'!$B$13,Paramètres!$A$1:$I$89,3,0)*VLOOKUP('Données projet'!$B$13,Paramètres!$A$1:$I$89,5,0)</f>
        <v>95.191200000000009</v>
      </c>
      <c r="CV35" s="14">
        <f t="shared" si="41"/>
        <v>25.8131020775105</v>
      </c>
      <c r="CW35" s="22">
        <f t="shared" si="13"/>
        <v>210.74915945166413</v>
      </c>
      <c r="CX35" s="60">
        <f t="shared" si="14"/>
        <v>504.08249278499744</v>
      </c>
      <c r="CY35" s="60">
        <f ca="1">AVERAGE(OFFSET($CX$3,0,0,'Données projet'!$E$13+1,1))-AVERAGE(OFFSET($H$3,0,0,'Données projet'!$E$13+1,1))</f>
        <v>403.33327536410098</v>
      </c>
      <c r="CZ35" s="60">
        <f t="shared" si="42"/>
        <v>218.26721063098552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10.780000000000001</v>
      </c>
      <c r="DO35" s="13">
        <f>IF('Données projet'!$A$166&gt;35,DO34+DN35-DW34,IF(A35&lt;'Données projet'!$A$166,$DL$205^A35,IF(A35='Données projet'!$A$166,'Données projet'!$B$166,DO34+DN35-DW34)))</f>
        <v>168.06</v>
      </c>
      <c r="DP35" s="18">
        <f>DO35*VLOOKUP('Données projet'!$B$14,Paramètres!$A$1:$I$89,3,0)*VLOOKUP('Données projet'!$B$14,Paramètres!$A$1:$I$89,5,0)</f>
        <v>133.70853600000001</v>
      </c>
      <c r="DQ35" s="14">
        <f t="shared" si="43"/>
        <v>34.851885243857993</v>
      </c>
      <c r="DR35" s="22">
        <f t="shared" si="16"/>
        <v>293.57606699971933</v>
      </c>
      <c r="DS35" s="60">
        <f t="shared" si="17"/>
        <v>586.90940033305264</v>
      </c>
      <c r="DT35" s="60">
        <f ca="1">AVERAGE(OFFSET($DS$3,0,0,'Données projet'!$E$14+1,1))-AVERAGE(OFFSET($H$3,0,0,'Données projet'!$E$14+1,1))</f>
        <v>317.13087551964747</v>
      </c>
      <c r="DU35" s="60">
        <f t="shared" si="44"/>
        <v>293.43300041793185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8.7199999999999989</v>
      </c>
      <c r="EJ35" s="13">
        <f>IF('Données projet'!$A$192&gt;35,EJ34+EI35-ER34,IF(A35&lt;'Données projet'!$A$192,$EG$205^A35,IF(A35='Données projet'!$A$192,'Données projet'!$B$192,EJ34+EI35-ER34)))</f>
        <v>130.94000000000003</v>
      </c>
      <c r="EK35" s="18">
        <f>EJ35*VLOOKUP('Données projet'!$B$15,Paramètres!$A$1:$I$89,3,0)*VLOOKUP('Données projet'!$B$15,Paramètres!$A$1:$I$89,5,0)</f>
        <v>104.17586400000002</v>
      </c>
      <c r="EL35" s="14">
        <f t="shared" si="45"/>
        <v>27.954458508686308</v>
      </c>
      <c r="EM35" s="22">
        <f t="shared" si="19"/>
        <v>230.12697836929533</v>
      </c>
      <c r="EN35" s="60">
        <f t="shared" si="20"/>
        <v>523.46031170262859</v>
      </c>
      <c r="EO35" s="60">
        <f ca="1">AVERAGE(OFFSET($EN$3,0,0,'Données projet'!$E$15+1,1))-AVERAGE(OFFSET($H$3,0,0,'Données projet'!$E$15+1,1))</f>
        <v>253.03289960511904</v>
      </c>
      <c r="EP35" s="60">
        <f t="shared" si="46"/>
        <v>236.85088713056018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8.7199999999999989</v>
      </c>
      <c r="FE35" s="13">
        <f>IF('Données projet'!$A$218&gt;35,FE34+FD35-FM34,IF(A35&lt;'Données projet'!$A$218,$FB$205^A35,IF(A35='Données projet'!$A$218,'Données projet'!$B$218,FE34+FD35-FM34)))</f>
        <v>130.94000000000003</v>
      </c>
      <c r="FF35" s="18">
        <f>FE35*VLOOKUP('Données projet'!$B$16,Paramètres!$A$1:$I$89,3,0)*VLOOKUP('Données projet'!$B$16,Paramètres!$A$1:$I$89,5,0)</f>
        <v>114.38918400000004</v>
      </c>
      <c r="FG35" s="14">
        <f t="shared" si="47"/>
        <v>30.362743955016121</v>
      </c>
      <c r="FH35" s="22">
        <f t="shared" si="22"/>
        <v>252.10960785498642</v>
      </c>
      <c r="FI35" s="60">
        <f t="shared" si="23"/>
        <v>545.44294118831976</v>
      </c>
      <c r="FJ35" s="60">
        <f ca="1">AVERAGE(OFFSET($FI$3,0,0,'Données projet'!$E$16+1,1))-AVERAGE(OFFSET($H$3,0,0,'Données projet'!$E$16+1,1))</f>
        <v>274.38315511766132</v>
      </c>
      <c r="FK35" s="60">
        <f t="shared" si="48"/>
        <v>255.96663040027175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14.166666666666666</v>
      </c>
      <c r="FZ35" s="13">
        <f>IF('Données projet'!$A$244&gt;35,FZ34+FY35-GH34,IF(A35&lt;'Données projet'!$A$244,$FW$205^A35,IF(A35='Données projet'!$A$244,'Données projet'!$B$244,FZ34+FY35-GH34)))</f>
        <v>117.33333333333333</v>
      </c>
      <c r="GA35" s="18">
        <f>FZ35*VLOOKUP('Données projet'!$B$17,Paramètres!$A$1:$I$89,3,0)*VLOOKUP('Données projet'!$B$17,Paramètres!$A$1:$I$89,5,0)</f>
        <v>100.672</v>
      </c>
      <c r="GB35" s="14">
        <f t="shared" si="49"/>
        <v>27.122029824032914</v>
      </c>
      <c r="GC35" s="22">
        <f t="shared" si="25"/>
        <v>222.57460194352402</v>
      </c>
      <c r="GD35" s="60">
        <f t="shared" si="26"/>
        <v>515.9079352768573</v>
      </c>
      <c r="GE35" s="60">
        <f ca="1">AVERAGE(OFFSET($GD$3,0,0,'Données projet'!$E$17+1,1))-AVERAGE(OFFSET($H$3,0,0,'Données projet'!$E$17+1,1))</f>
        <v>445.81166342116865</v>
      </c>
      <c r="GF35" s="60">
        <f t="shared" si="50"/>
        <v>230.82970731138215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11.5</v>
      </c>
      <c r="GU35" s="13">
        <f>IF('Données projet'!$A$270&gt;35,GU34+GT35-HC34,IF(A35&lt;'Données projet'!$A$270,$GR$205^A35,IF(A35='Données projet'!$A$270,'Données projet'!$B$270,GU34+GT35-HC34)))</f>
        <v>130.49999999999994</v>
      </c>
      <c r="GV35" s="18">
        <f>GU35*VLOOKUP('Données projet'!$B$18,Paramètres!$A$1:$I$89,3,0)*VLOOKUP('Données projet'!$B$18,Paramètres!$A$1:$I$89,5,0)</f>
        <v>101.78999999999996</v>
      </c>
      <c r="GW35" s="14">
        <f t="shared" si="51"/>
        <v>27.38799903683508</v>
      </c>
      <c r="GX35" s="22">
        <f t="shared" si="28"/>
        <v>224.98501498915437</v>
      </c>
      <c r="GY35" s="60">
        <f t="shared" si="29"/>
        <v>518.31834832248774</v>
      </c>
      <c r="GZ35" s="60">
        <f ca="1">AVERAGE(OFFSET($GY$3,0,0,'Données projet'!$E$18+1,1))-AVERAGE(OFFSET($H$3,0,0,'Données projet'!$E$18+1,1))</f>
        <v>289.19475369871481</v>
      </c>
      <c r="HA35" s="60">
        <f t="shared" si="52"/>
        <v>283.48738729114024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projet'!$B$18,Paramètres!$A$1:$I$89,3,0)*0.475*44/12</f>
        <v>0</v>
      </c>
      <c r="HH35" s="23">
        <f>EXP(-LN(2)/25)*HH34+(1-EXP(-LN(2)/25))/(LN(2)/25)*Calculateur!HC35*Calculateur!HE35*VLOOKUP('Données projet'!$B$18,Paramètres!$A$1:$I$89,3,0)*0.475*44/12</f>
        <v>0</v>
      </c>
      <c r="HI35" s="23">
        <f>EXP(-LN(2)/2)*HI34+(1-EXP(-LN(2)/2))/(LN(2)/2)*HC35*HF35*VLOOKUP('Données projet'!$B$18,Paramètres!$A$1:$I$89,3,0)*0.475*44/12</f>
        <v>0</v>
      </c>
      <c r="HJ35" s="24">
        <f t="shared" si="30"/>
        <v>0</v>
      </c>
    </row>
    <row r="36" spans="1:218" s="5" customFormat="1" x14ac:dyDescent="0.3">
      <c r="A36" s="11">
        <f t="shared" si="31"/>
        <v>33</v>
      </c>
      <c r="B36" s="75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8">
        <f t="shared" si="1"/>
        <v>256.66666666666669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121</v>
      </c>
      <c r="O36" s="14">
        <f>N36*VLOOKUP('Données projet'!$B$9,Paramètres!$A$1:$I$89,3,0)*VLOOKUP('Données projet'!$B$9,Paramètres!$A$1:$I$89,5,0)</f>
        <v>117.0312</v>
      </c>
      <c r="P36" s="14">
        <f t="shared" si="33"/>
        <v>30.981569147428527</v>
      </c>
      <c r="Q36" s="22">
        <f t="shared" si="53"/>
        <v>257.78890626510469</v>
      </c>
      <c r="R36" s="60">
        <f t="shared" si="0"/>
        <v>551.122239598438</v>
      </c>
      <c r="S36" s="60">
        <f ca="1">AVERAGE(OFFSET($R$3,0,0,'Données projet'!$E$9+1,1))-AVERAGE(OFFSET($H$3,0,0,'Données projet'!$E$9+1,1))</f>
        <v>456.86147223520601</v>
      </c>
      <c r="T36" s="60">
        <f t="shared" si="34"/>
        <v>244.45149244446094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3.2</v>
      </c>
      <c r="AI36" s="14">
        <f>IF('Données projet'!$A$62&gt;35,AI35+AH36-AQ35,IF(A36&lt;'Données projet'!$A$62,$AF$205^A36,IF(A36='Données projet'!$A$62,'Données projet'!$B$62,AI35+AH36-AQ35)))</f>
        <v>90.600000000000009</v>
      </c>
      <c r="AJ36" s="14">
        <f>AI36*VLOOKUP('Données projet'!$B$10,Paramètres!$A$1:$I$89,3,0)*VLOOKUP('Données projet'!$B$10,Paramètres!$A$1:$I$89,5,0)</f>
        <v>59.36112</v>
      </c>
      <c r="AK36" s="14">
        <f t="shared" si="35"/>
        <v>17.00663960308162</v>
      </c>
      <c r="AL36" s="22">
        <f t="shared" si="4"/>
        <v>133.0071813087005</v>
      </c>
      <c r="AM36" s="60">
        <f t="shared" si="5"/>
        <v>426.34051464203378</v>
      </c>
      <c r="AN36" s="60">
        <f ca="1">AVERAGE(OFFSET($AM$3,0,0,'Données projet'!$E$10+1,1))-AVERAGE(OFFSET($H$3,0,0,'Données projet'!$E$10+1,1))</f>
        <v>170.79567854714986</v>
      </c>
      <c r="AO36" s="60">
        <f t="shared" si="36"/>
        <v>155.92788004111191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8.8000000000000007</v>
      </c>
      <c r="BD36" s="13">
        <f>IF('Données projet'!$A$88&gt;35,BD35+BC36-BL35,IF(A36&lt;'Données projet'!$A$88,$BA$205^A36,IF(A36='Données projet'!$A$88,'Données projet'!$B$88,BD35+BC36-BL35)))</f>
        <v>172.40000000000003</v>
      </c>
      <c r="BE36" s="14">
        <f>BD36*VLOOKUP('Données projet'!$B$11,Paramètres!$A$1:$I$89,3,0)*VLOOKUP('Données projet'!$B$11,Paramètres!$A$1:$I$89,5,0)</f>
        <v>139.85088000000005</v>
      </c>
      <c r="BF36" s="14">
        <f t="shared" si="37"/>
        <v>36.262842078476233</v>
      </c>
      <c r="BG36" s="22">
        <f t="shared" si="7"/>
        <v>306.7313992866795</v>
      </c>
      <c r="BH36" s="60">
        <f t="shared" si="8"/>
        <v>600.06473262001282</v>
      </c>
      <c r="BI36" s="60">
        <f ca="1">AVERAGE(OFFSET($BH$3,0,0,'Données projet'!$E$11+1,1))-AVERAGE(OFFSET($H$3,0,0,'Données projet'!$E$11+1,1))</f>
        <v>256.19915261735281</v>
      </c>
      <c r="BJ36" s="60">
        <f t="shared" si="38"/>
        <v>297.47246687305056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6.1538461538461515</v>
      </c>
      <c r="BY36" s="13">
        <f>IF('Données projet'!$A$114&gt;35,BY35+BX36-CG35,IF(A36&lt;'Données projet'!$A$114,$BV$205^A36,IF(A36='Données projet'!$A$114,'Données projet'!$B$114,BY35+BX36-CG35)))</f>
        <v>117.1794871794872</v>
      </c>
      <c r="BZ36" s="14">
        <f>BY36*VLOOKUP('Données projet'!$B$12,Paramètres!$A$1:$I$89,3,0)*VLOOKUP('Données projet'!$B$12,Paramètres!$A$1:$I$89,5,0)</f>
        <v>111.50800000000002</v>
      </c>
      <c r="CA36" s="14">
        <f t="shared" si="39"/>
        <v>29.685999090183582</v>
      </c>
      <c r="CB36" s="22">
        <f t="shared" si="10"/>
        <v>245.9128817487364</v>
      </c>
      <c r="CC36" s="60">
        <f t="shared" si="11"/>
        <v>539.24621508206974</v>
      </c>
      <c r="CD36" s="60">
        <f ca="1">AVERAGE(OFFSET($CC$3,0,0,'Données projet'!$E$12+1,1))-AVERAGE(OFFSET($H$3,0,0,'Données projet'!$E$12+1,1))</f>
        <v>353.53401919391234</v>
      </c>
      <c r="CE36" s="60">
        <f t="shared" si="40"/>
        <v>244.7141066773861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</v>
      </c>
      <c r="CT36" s="13">
        <f>IF('Données projet'!$A$140&gt;35,CT35+CS36-DB35,IF(A36&lt;'Données projet'!$A$140,$CQ$205^A36,IF(A36='Données projet'!$A$140,'Données projet'!$B$140,CT35+CS36-DB35)))</f>
        <v>121</v>
      </c>
      <c r="CU36" s="18">
        <f>CT36*VLOOKUP('Données projet'!$B$13,Paramètres!$A$1:$I$89,3,0)*VLOOKUP('Données projet'!$B$13,Paramètres!$A$1:$I$89,5,0)</f>
        <v>101.93040000000001</v>
      </c>
      <c r="CV36" s="14">
        <f t="shared" si="41"/>
        <v>27.421375718582158</v>
      </c>
      <c r="CW36" s="22">
        <f t="shared" si="13"/>
        <v>225.28767604319728</v>
      </c>
      <c r="CX36" s="60">
        <f t="shared" si="14"/>
        <v>518.62100937653054</v>
      </c>
      <c r="CY36" s="60">
        <f ca="1">AVERAGE(OFFSET($CX$3,0,0,'Données projet'!$E$13+1,1))-AVERAGE(OFFSET($H$3,0,0,'Données projet'!$E$13+1,1))</f>
        <v>403.33327536410098</v>
      </c>
      <c r="CZ36" s="60">
        <f t="shared" si="42"/>
        <v>218.26721063098552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10.780000000000001</v>
      </c>
      <c r="DO36" s="13">
        <f>IF('Données projet'!$A$166&gt;35,DO35+DN36-DW35,IF(A36&lt;'Données projet'!$A$166,$DL$205^A36,IF(A36='Données projet'!$A$166,'Données projet'!$B$166,DO35+DN36-DW35)))</f>
        <v>178.84</v>
      </c>
      <c r="DP36" s="18">
        <f>DO36*VLOOKUP('Données projet'!$B$14,Paramètres!$A$1:$I$89,3,0)*VLOOKUP('Données projet'!$B$14,Paramètres!$A$1:$I$89,5,0)</f>
        <v>142.28510399999999</v>
      </c>
      <c r="DQ36" s="14">
        <f t="shared" si="43"/>
        <v>36.819996442621921</v>
      </c>
      <c r="DR36" s="22">
        <f t="shared" si="16"/>
        <v>311.94138327089985</v>
      </c>
      <c r="DS36" s="60">
        <f t="shared" si="17"/>
        <v>605.27471660423316</v>
      </c>
      <c r="DT36" s="60">
        <f ca="1">AVERAGE(OFFSET($DS$3,0,0,'Données projet'!$E$14+1,1))-AVERAGE(OFFSET($H$3,0,0,'Données projet'!$E$14+1,1))</f>
        <v>317.13087551964747</v>
      </c>
      <c r="DU36" s="60">
        <f t="shared" si="44"/>
        <v>293.43300041793185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8.7199999999999989</v>
      </c>
      <c r="EJ36" s="13">
        <f>IF('Données projet'!$A$192&gt;35,EJ35+EI36-ER35,IF(A36&lt;'Données projet'!$A$192,$EG$205^A36,IF(A36='Données projet'!$A$192,'Données projet'!$B$192,EJ35+EI36-ER35)))</f>
        <v>139.66000000000003</v>
      </c>
      <c r="EK36" s="18">
        <f>EJ36*VLOOKUP('Données projet'!$B$15,Paramètres!$A$1:$I$89,3,0)*VLOOKUP('Données projet'!$B$15,Paramètres!$A$1:$I$89,5,0)</f>
        <v>111.11349600000004</v>
      </c>
      <c r="EL36" s="14">
        <f t="shared" si="45"/>
        <v>29.593178934171796</v>
      </c>
      <c r="EM36" s="22">
        <f t="shared" si="19"/>
        <v>245.06412551034927</v>
      </c>
      <c r="EN36" s="60">
        <f t="shared" si="20"/>
        <v>538.39745884368256</v>
      </c>
      <c r="EO36" s="60">
        <f ca="1">AVERAGE(OFFSET($EN$3,0,0,'Données projet'!$E$15+1,1))-AVERAGE(OFFSET($H$3,0,0,'Données projet'!$E$15+1,1))</f>
        <v>253.03289960511904</v>
      </c>
      <c r="EP36" s="60">
        <f t="shared" si="46"/>
        <v>236.85088713056018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8.7199999999999989</v>
      </c>
      <c r="FE36" s="13">
        <f>IF('Données projet'!$A$218&gt;35,FE35+FD36-FM35,IF(A36&lt;'Données projet'!$A$218,$FB$205^A36,IF(A36='Données projet'!$A$218,'Données projet'!$B$218,FE35+FD36-FM35)))</f>
        <v>139.66000000000003</v>
      </c>
      <c r="FF36" s="18">
        <f>FE36*VLOOKUP('Données projet'!$B$16,Paramètres!$A$1:$I$89,3,0)*VLOOKUP('Données projet'!$B$16,Paramètres!$A$1:$I$89,5,0)</f>
        <v>122.00697600000004</v>
      </c>
      <c r="FG36" s="14">
        <f t="shared" si="47"/>
        <v>32.142640663707873</v>
      </c>
      <c r="FH36" s="22">
        <f t="shared" si="22"/>
        <v>268.47724902262462</v>
      </c>
      <c r="FI36" s="60">
        <f t="shared" si="23"/>
        <v>561.81058235595788</v>
      </c>
      <c r="FJ36" s="60">
        <f ca="1">AVERAGE(OFFSET($FI$3,0,0,'Données projet'!$E$16+1,1))-AVERAGE(OFFSET($H$3,0,0,'Données projet'!$E$16+1,1))</f>
        <v>274.38315511766132</v>
      </c>
      <c r="FK36" s="60">
        <f t="shared" si="48"/>
        <v>255.96663040027175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14.166666666666666</v>
      </c>
      <c r="FZ36" s="13">
        <f>IF('Données projet'!$A$244&gt;35,FZ35+FY36-GH35,IF(A36&lt;'Données projet'!$A$244,$FW$205^A36,IF(A36='Données projet'!$A$244,'Données projet'!$B$244,FZ35+FY36-GH35)))</f>
        <v>131.5</v>
      </c>
      <c r="GA36" s="18">
        <f>FZ36*VLOOKUP('Données projet'!$B$17,Paramètres!$A$1:$I$89,3,0)*VLOOKUP('Données projet'!$B$17,Paramètres!$A$1:$I$89,5,0)</f>
        <v>112.82700000000001</v>
      </c>
      <c r="GB36" s="14">
        <f t="shared" si="49"/>
        <v>29.996060965411449</v>
      </c>
      <c r="GC36" s="22">
        <f t="shared" si="25"/>
        <v>248.75016451475827</v>
      </c>
      <c r="GD36" s="60">
        <f t="shared" si="26"/>
        <v>542.08349784809161</v>
      </c>
      <c r="GE36" s="60">
        <f ca="1">AVERAGE(OFFSET($GD$3,0,0,'Données projet'!$E$17+1,1))-AVERAGE(OFFSET($H$3,0,0,'Données projet'!$E$17+1,1))</f>
        <v>445.81166342116865</v>
      </c>
      <c r="GF36" s="60">
        <f t="shared" si="50"/>
        <v>230.82970731138215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11.5</v>
      </c>
      <c r="GU36" s="13">
        <f>IF('Données projet'!$A$270&gt;35,GU35+GT36-HC35,IF(A36&lt;'Données projet'!$A$270,$GR$205^A36,IF(A36='Données projet'!$A$270,'Données projet'!$B$270,GU35+GT36-HC35)))</f>
        <v>141.99999999999994</v>
      </c>
      <c r="GV36" s="18">
        <f>GU36*VLOOKUP('Données projet'!$B$18,Paramètres!$A$1:$I$89,3,0)*VLOOKUP('Données projet'!$B$18,Paramètres!$A$1:$I$89,5,0)</f>
        <v>110.75999999999996</v>
      </c>
      <c r="GW36" s="14">
        <f t="shared" si="51"/>
        <v>29.509974682362923</v>
      </c>
      <c r="GX36" s="22">
        <f t="shared" si="28"/>
        <v>244.30353923844871</v>
      </c>
      <c r="GY36" s="60">
        <f t="shared" si="29"/>
        <v>537.63687257178208</v>
      </c>
      <c r="GZ36" s="60">
        <f ca="1">AVERAGE(OFFSET($GY$3,0,0,'Données projet'!$E$18+1,1))-AVERAGE(OFFSET($H$3,0,0,'Données projet'!$E$18+1,1))</f>
        <v>289.19475369871481</v>
      </c>
      <c r="HA36" s="60">
        <f t="shared" si="52"/>
        <v>283.48738729114024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projet'!$B$18,Paramètres!$A$1:$I$89,3,0)*0.475*44/12</f>
        <v>0</v>
      </c>
      <c r="HH36" s="23">
        <f>EXP(-LN(2)/25)*HH35+(1-EXP(-LN(2)/25))/(LN(2)/25)*Calculateur!HC36*Calculateur!HE36*VLOOKUP('Données projet'!$B$18,Paramètres!$A$1:$I$89,3,0)*0.475*44/12</f>
        <v>0</v>
      </c>
      <c r="HI36" s="23">
        <f>EXP(-LN(2)/2)*HI35+(1-EXP(-LN(2)/2))/(LN(2)/2)*HC36*HF36*VLOOKUP('Données projet'!$B$18,Paramètres!$A$1:$I$89,3,0)*0.475*44/12</f>
        <v>0</v>
      </c>
      <c r="HJ36" s="24">
        <f t="shared" si="30"/>
        <v>0</v>
      </c>
    </row>
    <row r="37" spans="1:218" s="5" customFormat="1" x14ac:dyDescent="0.3">
      <c r="A37" s="11">
        <f t="shared" si="31"/>
        <v>34</v>
      </c>
      <c r="B37" s="75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8">
        <f t="shared" si="1"/>
        <v>256.66666666666669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129</v>
      </c>
      <c r="O37" s="14">
        <f>N37*VLOOKUP('Données projet'!$B$9,Paramètres!$A$1:$I$89,3,0)*VLOOKUP('Données projet'!$B$9,Paramètres!$A$1:$I$89,5,0)</f>
        <v>124.76880000000001</v>
      </c>
      <c r="P37" s="14">
        <f t="shared" si="33"/>
        <v>32.784708369928126</v>
      </c>
      <c r="Q37" s="22">
        <f t="shared" si="53"/>
        <v>274.40569374429145</v>
      </c>
      <c r="R37" s="60">
        <f t="shared" si="0"/>
        <v>567.73902707762477</v>
      </c>
      <c r="S37" s="60">
        <f ca="1">AVERAGE(OFFSET($R$3,0,0,'Données projet'!$E$9+1,1))-AVERAGE(OFFSET($H$3,0,0,'Données projet'!$E$9+1,1))</f>
        <v>456.86147223520601</v>
      </c>
      <c r="T37" s="60">
        <f t="shared" si="34"/>
        <v>244.45149244446094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3.2</v>
      </c>
      <c r="AI37" s="14">
        <f>IF('Données projet'!$A$62&gt;35,AI36+AH37-AQ36,IF(A37&lt;'Données projet'!$A$62,$AF$205^A37,IF(A37='Données projet'!$A$62,'Données projet'!$B$62,AI36+AH37-AQ36)))</f>
        <v>93.800000000000011</v>
      </c>
      <c r="AJ37" s="14">
        <f>AI37*VLOOKUP('Données projet'!$B$10,Paramètres!$A$1:$I$89,3,0)*VLOOKUP('Données projet'!$B$10,Paramètres!$A$1:$I$89,5,0)</f>
        <v>61.45776</v>
      </c>
      <c r="AK37" s="14">
        <f t="shared" si="35"/>
        <v>17.536319965642669</v>
      </c>
      <c r="AL37" s="22">
        <f t="shared" si="4"/>
        <v>137.58135594016099</v>
      </c>
      <c r="AM37" s="60">
        <f t="shared" si="5"/>
        <v>430.91468927349433</v>
      </c>
      <c r="AN37" s="60">
        <f ca="1">AVERAGE(OFFSET($AM$3,0,0,'Données projet'!$E$10+1,1))-AVERAGE(OFFSET($H$3,0,0,'Données projet'!$E$10+1,1))</f>
        <v>170.79567854714986</v>
      </c>
      <c r="AO37" s="60">
        <f t="shared" si="36"/>
        <v>155.92788004111191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8.8000000000000007</v>
      </c>
      <c r="BD37" s="13">
        <f>IF('Données projet'!$A$88&gt;35,BD36+BC37-BL36,IF(A37&lt;'Données projet'!$A$88,$BA$205^A37,IF(A37='Données projet'!$A$88,'Données projet'!$B$88,BD36+BC37-BL36)))</f>
        <v>181.20000000000005</v>
      </c>
      <c r="BE37" s="14">
        <f>BD37*VLOOKUP('Données projet'!$B$11,Paramètres!$A$1:$I$89,3,0)*VLOOKUP('Données projet'!$B$11,Paramètres!$A$1:$I$89,5,0)</f>
        <v>146.98944000000006</v>
      </c>
      <c r="BF37" s="14">
        <f t="shared" si="37"/>
        <v>37.893619858723746</v>
      </c>
      <c r="BG37" s="22">
        <f t="shared" si="7"/>
        <v>322.00466258727732</v>
      </c>
      <c r="BH37" s="60">
        <f t="shared" si="8"/>
        <v>615.33799592061064</v>
      </c>
      <c r="BI37" s="60">
        <f ca="1">AVERAGE(OFFSET($BH$3,0,0,'Données projet'!$E$11+1,1))-AVERAGE(OFFSET($H$3,0,0,'Données projet'!$E$11+1,1))</f>
        <v>256.19915261735281</v>
      </c>
      <c r="BJ37" s="60">
        <f t="shared" si="38"/>
        <v>297.47246687305056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6.1538461538461515</v>
      </c>
      <c r="BY37" s="13">
        <f>IF('Données projet'!$A$114&gt;35,BY36+BX37-CG36,IF(A37&lt;'Données projet'!$A$114,$BV$205^A37,IF(A37='Données projet'!$A$114,'Données projet'!$B$114,BY36+BX37-CG36)))</f>
        <v>123.33333333333334</v>
      </c>
      <c r="BZ37" s="14">
        <f>BY37*VLOOKUP('Données projet'!$B$12,Paramètres!$A$1:$I$89,3,0)*VLOOKUP('Données projet'!$B$12,Paramètres!$A$1:$I$89,5,0)</f>
        <v>117.364</v>
      </c>
      <c r="CA37" s="14">
        <f t="shared" si="39"/>
        <v>31.059403079292686</v>
      </c>
      <c r="CB37" s="22">
        <f t="shared" si="10"/>
        <v>258.50409369643472</v>
      </c>
      <c r="CC37" s="60">
        <f t="shared" si="11"/>
        <v>551.83742702976804</v>
      </c>
      <c r="CD37" s="60">
        <f ca="1">AVERAGE(OFFSET($CC$3,0,0,'Données projet'!$E$12+1,1))-AVERAGE(OFFSET($H$3,0,0,'Données projet'!$E$12+1,1))</f>
        <v>353.53401919391234</v>
      </c>
      <c r="CE37" s="60">
        <f t="shared" si="40"/>
        <v>244.7141066773861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</v>
      </c>
      <c r="CT37" s="13">
        <f>IF('Données projet'!$A$140&gt;35,CT36+CS37-DB36,IF(A37&lt;'Données projet'!$A$140,$CQ$205^A37,IF(A37='Données projet'!$A$140,'Données projet'!$B$140,CT36+CS37-DB36)))</f>
        <v>129</v>
      </c>
      <c r="CU37" s="18">
        <f>CT37*VLOOKUP('Données projet'!$B$13,Paramètres!$A$1:$I$89,3,0)*VLOOKUP('Données projet'!$B$13,Paramètres!$A$1:$I$89,5,0)</f>
        <v>108.66960000000002</v>
      </c>
      <c r="CV37" s="14">
        <f t="shared" si="41"/>
        <v>29.017310316271104</v>
      </c>
      <c r="CW37" s="22">
        <f t="shared" si="13"/>
        <v>239.8047021341722</v>
      </c>
      <c r="CX37" s="60">
        <f t="shared" si="14"/>
        <v>533.13803546750546</v>
      </c>
      <c r="CY37" s="60">
        <f ca="1">AVERAGE(OFFSET($CX$3,0,0,'Données projet'!$E$13+1,1))-AVERAGE(OFFSET($H$3,0,0,'Données projet'!$E$13+1,1))</f>
        <v>403.33327536410098</v>
      </c>
      <c r="CZ37" s="60">
        <f t="shared" si="42"/>
        <v>218.26721063098552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10.780000000000001</v>
      </c>
      <c r="DO37" s="13">
        <f>IF('Données projet'!$A$166&gt;35,DO36+DN37-DW36,IF(A37&lt;'Données projet'!$A$166,$DL$205^A37,IF(A37='Données projet'!$A$166,'Données projet'!$B$166,DO36+DN37-DW36)))</f>
        <v>189.62</v>
      </c>
      <c r="DP37" s="18">
        <f>DO37*VLOOKUP('Données projet'!$B$14,Paramètres!$A$1:$I$89,3,0)*VLOOKUP('Données projet'!$B$14,Paramètres!$A$1:$I$89,5,0)</f>
        <v>150.86167200000003</v>
      </c>
      <c r="DQ37" s="14">
        <f t="shared" si="43"/>
        <v>38.774338346770982</v>
      </c>
      <c r="DR37" s="22">
        <f t="shared" si="16"/>
        <v>330.28271802062613</v>
      </c>
      <c r="DS37" s="60">
        <f t="shared" si="17"/>
        <v>623.61605135395939</v>
      </c>
      <c r="DT37" s="60">
        <f ca="1">AVERAGE(OFFSET($DS$3,0,0,'Données projet'!$E$14+1,1))-AVERAGE(OFFSET($H$3,0,0,'Données projet'!$E$14+1,1))</f>
        <v>317.13087551964747</v>
      </c>
      <c r="DU37" s="60">
        <f t="shared" si="44"/>
        <v>293.43300041793185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8.7199999999999989</v>
      </c>
      <c r="EJ37" s="13">
        <f>IF('Données projet'!$A$192&gt;35,EJ36+EI37-ER36,IF(A37&lt;'Données projet'!$A$192,$EG$205^A37,IF(A37='Données projet'!$A$192,'Données projet'!$B$192,EJ36+EI37-ER36)))</f>
        <v>148.38000000000002</v>
      </c>
      <c r="EK37" s="18">
        <f>EJ37*VLOOKUP('Données projet'!$B$15,Paramètres!$A$1:$I$89,3,0)*VLOOKUP('Données projet'!$B$15,Paramètres!$A$1:$I$89,5,0)</f>
        <v>118.05112800000002</v>
      </c>
      <c r="EL37" s="14">
        <f t="shared" si="45"/>
        <v>31.220024650329545</v>
      </c>
      <c r="EM37" s="22">
        <f t="shared" si="19"/>
        <v>259.98059086599062</v>
      </c>
      <c r="EN37" s="60">
        <f t="shared" si="20"/>
        <v>553.31392419932399</v>
      </c>
      <c r="EO37" s="60">
        <f ca="1">AVERAGE(OFFSET($EN$3,0,0,'Données projet'!$E$15+1,1))-AVERAGE(OFFSET($H$3,0,0,'Données projet'!$E$15+1,1))</f>
        <v>253.03289960511904</v>
      </c>
      <c r="EP37" s="60">
        <f t="shared" si="46"/>
        <v>236.85088713056018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8.7199999999999989</v>
      </c>
      <c r="FE37" s="13">
        <f>IF('Données projet'!$A$218&gt;35,FE36+FD37-FM36,IF(A37&lt;'Données projet'!$A$218,$FB$205^A37,IF(A37='Données projet'!$A$218,'Données projet'!$B$218,FE36+FD37-FM36)))</f>
        <v>148.38000000000002</v>
      </c>
      <c r="FF37" s="18">
        <f>FE37*VLOOKUP('Données projet'!$B$16,Paramètres!$A$1:$I$89,3,0)*VLOOKUP('Données projet'!$B$16,Paramètres!$A$1:$I$89,5,0)</f>
        <v>129.62476800000005</v>
      </c>
      <c r="FG37" s="14">
        <f t="shared" si="47"/>
        <v>33.909639653105714</v>
      </c>
      <c r="FH37" s="22">
        <f t="shared" si="22"/>
        <v>284.82242666249249</v>
      </c>
      <c r="FI37" s="60">
        <f t="shared" si="23"/>
        <v>578.15575999582575</v>
      </c>
      <c r="FJ37" s="60">
        <f ca="1">AVERAGE(OFFSET($FI$3,0,0,'Données projet'!$E$16+1,1))-AVERAGE(OFFSET($H$3,0,0,'Données projet'!$E$16+1,1))</f>
        <v>274.38315511766132</v>
      </c>
      <c r="FK37" s="60">
        <f t="shared" si="48"/>
        <v>255.96663040027175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14.166666666666666</v>
      </c>
      <c r="FZ37" s="13">
        <f>IF('Données projet'!$A$244&gt;35,FZ36+FY37-GH36,IF(A37&lt;'Données projet'!$A$244,$FW$205^A37,IF(A37='Données projet'!$A$244,'Données projet'!$B$244,FZ36+FY37-GH36)))</f>
        <v>145.66666666666666</v>
      </c>
      <c r="GA37" s="18">
        <f>FZ37*VLOOKUP('Données projet'!$B$17,Paramètres!$A$1:$I$89,3,0)*VLOOKUP('Données projet'!$B$17,Paramètres!$A$1:$I$89,5,0)</f>
        <v>124.98200000000001</v>
      </c>
      <c r="GB37" s="14">
        <f t="shared" si="49"/>
        <v>32.834203796212122</v>
      </c>
      <c r="GC37" s="22">
        <f t="shared" si="25"/>
        <v>274.86322161173609</v>
      </c>
      <c r="GD37" s="60">
        <f t="shared" si="26"/>
        <v>568.19655494506947</v>
      </c>
      <c r="GE37" s="60">
        <f ca="1">AVERAGE(OFFSET($GD$3,0,0,'Données projet'!$E$17+1,1))-AVERAGE(OFFSET($H$3,0,0,'Données projet'!$E$17+1,1))</f>
        <v>445.81166342116865</v>
      </c>
      <c r="GF37" s="60">
        <f t="shared" si="50"/>
        <v>230.82970731138215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11.5</v>
      </c>
      <c r="GU37" s="13">
        <f>IF('Données projet'!$A$270&gt;35,GU36+GT37-HC36,IF(A37&lt;'Données projet'!$A$270,$GR$205^A37,IF(A37='Données projet'!$A$270,'Données projet'!$B$270,GU36+GT37-HC36)))</f>
        <v>153.49999999999994</v>
      </c>
      <c r="GV37" s="18">
        <f>GU37*VLOOKUP('Données projet'!$B$18,Paramètres!$A$1:$I$89,3,0)*VLOOKUP('Données projet'!$B$18,Paramètres!$A$1:$I$89,5,0)</f>
        <v>119.72999999999996</v>
      </c>
      <c r="GW37" s="14">
        <f t="shared" si="51"/>
        <v>31.612017974790529</v>
      </c>
      <c r="GX37" s="22">
        <f t="shared" si="28"/>
        <v>263.58734797276003</v>
      </c>
      <c r="GY37" s="60">
        <f t="shared" si="29"/>
        <v>556.92068130609334</v>
      </c>
      <c r="GZ37" s="60">
        <f ca="1">AVERAGE(OFFSET($GY$3,0,0,'Données projet'!$E$18+1,1))-AVERAGE(OFFSET($H$3,0,0,'Données projet'!$E$18+1,1))</f>
        <v>289.19475369871481</v>
      </c>
      <c r="HA37" s="60">
        <f t="shared" si="52"/>
        <v>283.48738729114024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projet'!$B$18,Paramètres!$A$1:$I$89,3,0)*0.475*44/12</f>
        <v>0</v>
      </c>
      <c r="HH37" s="23">
        <f>EXP(-LN(2)/25)*HH36+(1-EXP(-LN(2)/25))/(LN(2)/25)*Calculateur!HC37*Calculateur!HE37*VLOOKUP('Données projet'!$B$18,Paramètres!$A$1:$I$89,3,0)*0.475*44/12</f>
        <v>0</v>
      </c>
      <c r="HI37" s="23">
        <f>EXP(-LN(2)/2)*HI36+(1-EXP(-LN(2)/2))/(LN(2)/2)*HC37*HF37*VLOOKUP('Données projet'!$B$18,Paramètres!$A$1:$I$89,3,0)*0.475*44/12</f>
        <v>0</v>
      </c>
      <c r="HJ37" s="24">
        <f t="shared" si="30"/>
        <v>0</v>
      </c>
    </row>
    <row r="38" spans="1:218" s="5" customFormat="1" x14ac:dyDescent="0.3">
      <c r="A38" s="11">
        <f t="shared" si="31"/>
        <v>35</v>
      </c>
      <c r="B38" s="75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8">
        <f t="shared" si="1"/>
        <v>256.66666666666669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137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137</v>
      </c>
      <c r="O38" s="14">
        <f>N38*VLOOKUP('Données projet'!$B$9,Paramètres!$A$1:$I$89,3,0)*VLOOKUP('Données projet'!$B$9,Paramètres!$A$1:$I$89,5,0)</f>
        <v>132.50640000000001</v>
      </c>
      <c r="P38" s="14">
        <f t="shared" si="33"/>
        <v>34.574869530248939</v>
      </c>
      <c r="Q38" s="22">
        <f t="shared" si="53"/>
        <v>290.99987776518356</v>
      </c>
      <c r="R38" s="60">
        <f t="shared" si="0"/>
        <v>584.33321109851681</v>
      </c>
      <c r="S38" s="60">
        <f ca="1">AVERAGE(OFFSET($R$3,0,0,'Données projet'!$E$9+1,1))-AVERAGE(OFFSET($H$3,0,0,'Données projet'!$E$9+1,1))</f>
        <v>456.86147223520601</v>
      </c>
      <c r="T38" s="60">
        <f t="shared" si="34"/>
        <v>244.45149244446094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42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3.2</v>
      </c>
      <c r="AI38" s="14">
        <f>IF('Données projet'!$A$62&gt;35,AI37+AH38-AQ37,IF(A38&lt;'Données projet'!$A$62,$AF$205^A38,IF(A38='Données projet'!$A$62,'Données projet'!$B$62,AI37+AH38-AQ37)))</f>
        <v>97.000000000000014</v>
      </c>
      <c r="AJ38" s="14">
        <f>AI38*VLOOKUP('Données projet'!$B$10,Paramètres!$A$1:$I$89,3,0)*VLOOKUP('Données projet'!$B$10,Paramètres!$A$1:$I$89,5,0)</f>
        <v>63.554400000000008</v>
      </c>
      <c r="AK38" s="14">
        <f t="shared" si="35"/>
        <v>18.063900706818366</v>
      </c>
      <c r="AL38" s="22">
        <f t="shared" si="4"/>
        <v>142.151873731042</v>
      </c>
      <c r="AM38" s="60">
        <f t="shared" si="5"/>
        <v>435.48520706437534</v>
      </c>
      <c r="AN38" s="60">
        <f ca="1">AVERAGE(OFFSET($AM$3,0,0,'Données projet'!$E$10+1,1))-AVERAGE(OFFSET($H$3,0,0,'Données projet'!$E$10+1,1))</f>
        <v>170.79567854714986</v>
      </c>
      <c r="AO38" s="60">
        <f t="shared" si="36"/>
        <v>155.92788004111191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190</v>
      </c>
      <c r="BB38" s="13">
        <f>VLOOKUP(A38,'Données projet'!$A$87:$I$107,9,0)</f>
        <v>8.8000000000000007</v>
      </c>
      <c r="BC38" s="13">
        <f t="array" ref="BC38">INDEX(BB:BB,MIN(IF(ISNUMBER(BB38:BB234),ROW(BB38:BB234),"")))</f>
        <v>8.8000000000000007</v>
      </c>
      <c r="BD38" s="13">
        <f>IF('Données projet'!$A$88&gt;35,BD37+BC38-BL37,IF(A38&lt;'Données projet'!$A$88,$BA$205^A38,IF(A38='Données projet'!$A$88,'Données projet'!$B$88,BD37+BC38-BL37)))</f>
        <v>190.00000000000006</v>
      </c>
      <c r="BE38" s="14">
        <f>BD38*VLOOKUP('Données projet'!$B$11,Paramètres!$A$1:$I$89,3,0)*VLOOKUP('Données projet'!$B$11,Paramètres!$A$1:$I$89,5,0)</f>
        <v>154.12800000000007</v>
      </c>
      <c r="BF38" s="14">
        <f t="shared" si="37"/>
        <v>39.51520107536119</v>
      </c>
      <c r="BG38" s="22">
        <f t="shared" si="7"/>
        <v>337.26190853958752</v>
      </c>
      <c r="BH38" s="60">
        <f t="shared" si="8"/>
        <v>630.59524187292084</v>
      </c>
      <c r="BI38" s="60">
        <f ca="1">AVERAGE(OFFSET($BH$3,0,0,'Données projet'!$E$11+1,1))-AVERAGE(OFFSET($H$3,0,0,'Données projet'!$E$11+1,1))</f>
        <v>256.19915261735281</v>
      </c>
      <c r="BJ38" s="60">
        <f t="shared" si="38"/>
        <v>297.47246687305056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76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129.48717948717947</v>
      </c>
      <c r="BW38" s="13">
        <f>VLOOKUP(A38,'Données projet'!$A$113:$I$133,9,0)</f>
        <v>6.1538461538461515</v>
      </c>
      <c r="BX38" s="13">
        <f t="array" ref="BX38">INDEX(BW:BW,MIN(IF(ISNUMBER(BW38:BW234),ROW(BW38:BW234),"")))</f>
        <v>6.1538461538461515</v>
      </c>
      <c r="BY38" s="13">
        <f>IF('Données projet'!$A$114&gt;35,BY37+BX38-CG37,IF(A38&lt;'Données projet'!$A$114,$BV$205^A38,IF(A38='Données projet'!$A$114,'Données projet'!$B$114,BY37+BX38-CG37)))</f>
        <v>129.4871794871795</v>
      </c>
      <c r="BZ38" s="14">
        <f>BY38*VLOOKUP('Données projet'!$B$12,Paramètres!$A$1:$I$89,3,0)*VLOOKUP('Données projet'!$B$12,Paramètres!$A$1:$I$89,5,0)</f>
        <v>123.22000000000001</v>
      </c>
      <c r="CA38" s="14">
        <f t="shared" si="39"/>
        <v>32.42485010818541</v>
      </c>
      <c r="CB38" s="22">
        <f t="shared" si="10"/>
        <v>271.0814472717563</v>
      </c>
      <c r="CC38" s="60">
        <f t="shared" si="11"/>
        <v>564.41478060508962</v>
      </c>
      <c r="CD38" s="60">
        <f ca="1">AVERAGE(OFFSET($CC$3,0,0,'Données projet'!$E$12+1,1))-AVERAGE(OFFSET($H$3,0,0,'Données projet'!$E$12+1,1))</f>
        <v>353.53401919391234</v>
      </c>
      <c r="CE38" s="60">
        <f t="shared" si="40"/>
        <v>244.7141066773861</v>
      </c>
      <c r="CF38" s="16">
        <f>IF(ISNA(VLOOKUP(A38,'Données projet'!$A$113:$I$133,3,0)),0,VLOOKUP(A38,'Données projet'!$A$113:$I$133,3,0))</f>
        <v>2</v>
      </c>
      <c r="CG38" s="16">
        <f>IF(ISNA(VLOOKUP(A38,'Données projet'!$A$113:$I$133,4,0)),0,VLOOKUP(A38,'Données projet'!$A$113:$I$133,4,0))</f>
        <v>26.282051282051281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137</v>
      </c>
      <c r="CR38" s="13">
        <f>VLOOKUP(A38,'Données projet'!$A$139:$I$159,9,0)</f>
        <v>8</v>
      </c>
      <c r="CS38" s="13">
        <f t="array" ref="CS38">INDEX(CR:CR,MIN(IF(ISNUMBER(CR38:CR234),ROW(CR38:CR234),"")))</f>
        <v>8</v>
      </c>
      <c r="CT38" s="13">
        <f>IF('Données projet'!$A$140&gt;35,CT37+CS38-DB37,IF(A38&lt;'Données projet'!$A$140,$CQ$205^A38,IF(A38='Données projet'!$A$140,'Données projet'!$B$140,CT37+CS38-DB37)))</f>
        <v>137</v>
      </c>
      <c r="CU38" s="18">
        <f>CT38*VLOOKUP('Données projet'!$B$13,Paramètres!$A$1:$I$89,3,0)*VLOOKUP('Données projet'!$B$13,Paramètres!$A$1:$I$89,5,0)</f>
        <v>115.40880000000001</v>
      </c>
      <c r="CV38" s="14">
        <f t="shared" si="41"/>
        <v>30.60175820334798</v>
      </c>
      <c r="CW38" s="22">
        <f t="shared" si="13"/>
        <v>254.30172220416441</v>
      </c>
      <c r="CX38" s="60">
        <f t="shared" si="14"/>
        <v>547.63505553749769</v>
      </c>
      <c r="CY38" s="60">
        <f ca="1">AVERAGE(OFFSET($CX$3,0,0,'Données projet'!$E$13+1,1))-AVERAGE(OFFSET($H$3,0,0,'Données projet'!$E$13+1,1))</f>
        <v>403.33327536410098</v>
      </c>
      <c r="CZ38" s="60">
        <f t="shared" si="42"/>
        <v>218.26721063098552</v>
      </c>
      <c r="DA38" s="16">
        <f>IF(ISNA(VLOOKUP(A38,'Données projet'!$A$139:$I$159,3,0)),0,VLOOKUP(A38,'Données projet'!$A$139:$I$159,3,0))</f>
        <v>2</v>
      </c>
      <c r="DB38" s="16">
        <f>IF(ISNA(VLOOKUP(A38,'Données projet'!$A$139:$I$159,4,0)),0,VLOOKUP(A38,'Données projet'!$A$139:$I$159,4,0))</f>
        <v>42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200.4</v>
      </c>
      <c r="DM38" s="13">
        <f>VLOOKUP(A38,'Données projet'!$A$165:$I$185,9,0)</f>
        <v>10.780000000000001</v>
      </c>
      <c r="DN38" s="13">
        <f t="array" ref="DN38">INDEX(DM:DM,MIN(IF(ISNUMBER(DM38:DM234),ROW(DM38:DM234),"")))</f>
        <v>10.780000000000001</v>
      </c>
      <c r="DO38" s="13">
        <f>IF('Données projet'!$A$166&gt;35,DO37+DN38-DW37,IF(A38&lt;'Données projet'!$A$166,$DL$205^A38,IF(A38='Données projet'!$A$166,'Données projet'!$B$166,DO37+DN38-DW37)))</f>
        <v>200.4</v>
      </c>
      <c r="DP38" s="18">
        <f>DO38*VLOOKUP('Données projet'!$B$14,Paramètres!$A$1:$I$89,3,0)*VLOOKUP('Données projet'!$B$14,Paramètres!$A$1:$I$89,5,0)</f>
        <v>159.43824000000001</v>
      </c>
      <c r="DQ38" s="14">
        <f t="shared" si="43"/>
        <v>40.715782945506</v>
      </c>
      <c r="DR38" s="22">
        <f t="shared" si="16"/>
        <v>348.6015899634229</v>
      </c>
      <c r="DS38" s="60">
        <f t="shared" si="17"/>
        <v>641.93492329675621</v>
      </c>
      <c r="DT38" s="60">
        <f ca="1">AVERAGE(OFFSET($DS$3,0,0,'Données projet'!$E$14+1,1))-AVERAGE(OFFSET($H$3,0,0,'Données projet'!$E$14+1,1))</f>
        <v>317.13087551964747</v>
      </c>
      <c r="DU38" s="60">
        <f t="shared" si="44"/>
        <v>293.43300041793185</v>
      </c>
      <c r="DV38" s="16">
        <f>IF(ISNA(VLOOKUP(A38,'Données projet'!$A$165:$I$185,3,0)),0,VLOOKUP(A38,'Données projet'!$A$165:$I$185,3,0))</f>
        <v>2</v>
      </c>
      <c r="DW38" s="16">
        <f>IF(ISNA(VLOOKUP(A38,'Données projet'!$A$165:$I$185,4,0)),0,VLOOKUP(A38,'Données projet'!$A$165:$I$185,4,0))</f>
        <v>56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157.1</v>
      </c>
      <c r="EH38" s="13">
        <f>VLOOKUP(A38,'Données projet'!$A$191:$I$211,9,0)</f>
        <v>8.7199999999999989</v>
      </c>
      <c r="EI38" s="13">
        <f t="array" ref="EI38">INDEX(EH:EH,MIN(IF(ISNUMBER(EH38:EH234),ROW(EH38:EH234),"")))</f>
        <v>8.7199999999999989</v>
      </c>
      <c r="EJ38" s="13">
        <f>IF('Données projet'!$A$192&gt;35,EJ37+EI38-ER37,IF(A38&lt;'Données projet'!$A$192,$EG$205^A38,IF(A38='Données projet'!$A$192,'Données projet'!$B$192,EJ37+EI38-ER37)))</f>
        <v>157.10000000000002</v>
      </c>
      <c r="EK38" s="18">
        <f>EJ38*VLOOKUP('Données projet'!$B$15,Paramètres!$A$1:$I$89,3,0)*VLOOKUP('Données projet'!$B$15,Paramètres!$A$1:$I$89,5,0)</f>
        <v>124.98876000000001</v>
      </c>
      <c r="EL38" s="14">
        <f t="shared" si="45"/>
        <v>32.835773002556742</v>
      </c>
      <c r="EM38" s="22">
        <f t="shared" si="19"/>
        <v>274.87772831278636</v>
      </c>
      <c r="EN38" s="60">
        <f t="shared" si="20"/>
        <v>568.21106164611967</v>
      </c>
      <c r="EO38" s="60">
        <f ca="1">AVERAGE(OFFSET($EN$3,0,0,'Données projet'!$E$15+1,1))-AVERAGE(OFFSET($H$3,0,0,'Données projet'!$E$15+1,1))</f>
        <v>253.03289960511904</v>
      </c>
      <c r="EP38" s="60">
        <f t="shared" si="46"/>
        <v>236.85088713056018</v>
      </c>
      <c r="EQ38" s="16">
        <f>IF(ISNA(VLOOKUP(A38,'Données projet'!$A$191:$I$211,3,0)),0,VLOOKUP(A38,'Données projet'!$A$191:$I$211,3,0))</f>
        <v>2</v>
      </c>
      <c r="ER38" s="16">
        <f>IF(ISNA(VLOOKUP(A38,'Données projet'!$A$191:$I$211,4,0)),0,VLOOKUP(A38,'Données projet'!$A$191:$I$211,4,0))</f>
        <v>42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157.1</v>
      </c>
      <c r="FC38" s="13">
        <f>VLOOKUP(A38,'Données projet'!$A$217:$I$237,9,0)</f>
        <v>8.7199999999999989</v>
      </c>
      <c r="FD38" s="13">
        <f t="array" ref="FD38">INDEX(FC:FC,MIN(IF(ISNUMBER(FC38:FC234),ROW(FC38:FC234),"")))</f>
        <v>8.7199999999999989</v>
      </c>
      <c r="FE38" s="13">
        <f>IF('Données projet'!$A$218&gt;35,FE37+FD38-FM37,IF(A38&lt;'Données projet'!$A$218,$FB$205^A38,IF(A38='Données projet'!$A$218,'Données projet'!$B$218,FE37+FD38-FM37)))</f>
        <v>157.10000000000002</v>
      </c>
      <c r="FF38" s="18">
        <f>FE38*VLOOKUP('Données projet'!$B$16,Paramètres!$A$1:$I$89,3,0)*VLOOKUP('Données projet'!$B$16,Paramètres!$A$1:$I$89,5,0)</f>
        <v>137.24256000000005</v>
      </c>
      <c r="FG38" s="14">
        <f t="shared" si="47"/>
        <v>35.664585237158782</v>
      </c>
      <c r="FH38" s="22">
        <f t="shared" si="22"/>
        <v>301.14661128805159</v>
      </c>
      <c r="FI38" s="60">
        <f t="shared" si="23"/>
        <v>594.4799446213849</v>
      </c>
      <c r="FJ38" s="60">
        <f ca="1">AVERAGE(OFFSET($FI$3,0,0,'Données projet'!$E$16+1,1))-AVERAGE(OFFSET($H$3,0,0,'Données projet'!$E$16+1,1))</f>
        <v>274.38315511766132</v>
      </c>
      <c r="FK38" s="60">
        <f t="shared" si="48"/>
        <v>255.96663040027175</v>
      </c>
      <c r="FL38" s="16">
        <f>IF(ISNA(VLOOKUP(A38,'Données projet'!$A$217:$I$237,3,0)),0,VLOOKUP(A38,'Données projet'!$A$217:$I$237,3,0))</f>
        <v>2</v>
      </c>
      <c r="FM38" s="16">
        <f>IF(ISNA(VLOOKUP(A38,'Données projet'!$A$217:$I$237,4,0)),0,VLOOKUP(A38,'Données projet'!$A$217:$I$237,4,0))</f>
        <v>42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14.166666666666666</v>
      </c>
      <c r="FZ38" s="13">
        <f>IF('Données projet'!$A$244&gt;35,FZ37+FY38-GH37,IF(A38&lt;'Données projet'!$A$244,$FW$205^A38,IF(A38='Données projet'!$A$244,'Données projet'!$B$244,FZ37+FY38-GH37)))</f>
        <v>159.83333333333331</v>
      </c>
      <c r="GA38" s="18">
        <f>FZ38*VLOOKUP('Données projet'!$B$17,Paramètres!$A$1:$I$89,3,0)*VLOOKUP('Données projet'!$B$17,Paramètres!$A$1:$I$89,5,0)</f>
        <v>137.137</v>
      </c>
      <c r="GB38" s="14">
        <f t="shared" si="49"/>
        <v>35.64034577929781</v>
      </c>
      <c r="GC38" s="22">
        <f t="shared" si="25"/>
        <v>300.92054389894366</v>
      </c>
      <c r="GD38" s="60">
        <f t="shared" si="26"/>
        <v>594.25387723227698</v>
      </c>
      <c r="GE38" s="60">
        <f ca="1">AVERAGE(OFFSET($GD$3,0,0,'Données projet'!$E$17+1,1))-AVERAGE(OFFSET($H$3,0,0,'Données projet'!$E$17+1,1))</f>
        <v>445.81166342116865</v>
      </c>
      <c r="GF38" s="60">
        <f t="shared" si="50"/>
        <v>230.82970731138215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11.5</v>
      </c>
      <c r="GU38" s="13">
        <f>IF('Données projet'!$A$270&gt;35,GU37+GT38-HC37,IF(A38&lt;'Données projet'!$A$270,$GR$205^A38,IF(A38='Données projet'!$A$270,'Données projet'!$B$270,GU37+GT38-HC37)))</f>
        <v>164.99999999999994</v>
      </c>
      <c r="GV38" s="18">
        <f>GU38*VLOOKUP('Données projet'!$B$18,Paramètres!$A$1:$I$89,3,0)*VLOOKUP('Données projet'!$B$18,Paramètres!$A$1:$I$89,5,0)</f>
        <v>128.69999999999996</v>
      </c>
      <c r="GW38" s="14">
        <f t="shared" si="51"/>
        <v>33.695792019186115</v>
      </c>
      <c r="GX38" s="22">
        <f t="shared" si="28"/>
        <v>282.83933776674911</v>
      </c>
      <c r="GY38" s="60">
        <f t="shared" si="29"/>
        <v>576.17267110008243</v>
      </c>
      <c r="GZ38" s="60">
        <f ca="1">AVERAGE(OFFSET($GY$3,0,0,'Données projet'!$E$18+1,1))-AVERAGE(OFFSET($H$3,0,0,'Données projet'!$E$18+1,1))</f>
        <v>289.19475369871481</v>
      </c>
      <c r="HA38" s="60">
        <f t="shared" si="52"/>
        <v>283.48738729114024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projet'!$B$18,Paramètres!$A$1:$I$89,3,0)*0.475*44/12</f>
        <v>0</v>
      </c>
      <c r="HH38" s="23">
        <f>EXP(-LN(2)/25)*HH37+(1-EXP(-LN(2)/25))/(LN(2)/25)*Calculateur!HC38*Calculateur!HE38*VLOOKUP('Données projet'!$B$18,Paramètres!$A$1:$I$89,3,0)*0.475*44/12</f>
        <v>0</v>
      </c>
      <c r="HI38" s="23">
        <f>EXP(-LN(2)/2)*HI37+(1-EXP(-LN(2)/2))/(LN(2)/2)*HC38*HF38*VLOOKUP('Données projet'!$B$18,Paramètres!$A$1:$I$89,3,0)*0.475*44/12</f>
        <v>0</v>
      </c>
      <c r="HJ38" s="24">
        <f t="shared" si="30"/>
        <v>0</v>
      </c>
    </row>
    <row r="39" spans="1:218" s="5" customFormat="1" x14ac:dyDescent="0.3">
      <c r="A39" s="11">
        <f t="shared" si="31"/>
        <v>36</v>
      </c>
      <c r="B39" s="75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8">
        <f t="shared" si="1"/>
        <v>256.66666666666669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103.4</v>
      </c>
      <c r="O39" s="14">
        <f>N39*VLOOKUP('Données projet'!$B$9,Paramètres!$A$1:$I$89,3,0)*VLOOKUP('Données projet'!$B$9,Paramètres!$A$1:$I$89,5,0)</f>
        <v>100.00848000000001</v>
      </c>
      <c r="P39" s="14">
        <f t="shared" si="33"/>
        <v>26.964017781444337</v>
      </c>
      <c r="Q39" s="22">
        <f t="shared" si="53"/>
        <v>221.14376696934889</v>
      </c>
      <c r="R39" s="60">
        <f t="shared" si="0"/>
        <v>514.47710030268217</v>
      </c>
      <c r="S39" s="60">
        <f ca="1">AVERAGE(OFFSET($R$3,0,0,'Données projet'!$E$9+1,1))-AVERAGE(OFFSET($H$3,0,0,'Données projet'!$E$9+1,1))</f>
        <v>456.86147223520601</v>
      </c>
      <c r="T39" s="60">
        <f t="shared" si="34"/>
        <v>244.45149244446094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3.2</v>
      </c>
      <c r="AI39" s="14">
        <f>IF('Données projet'!$A$62&gt;35,AI38+AH39-AQ38,IF(A39&lt;'Données projet'!$A$62,$AF$205^A39,IF(A39='Données projet'!$A$62,'Données projet'!$B$62,AI38+AH39-AQ38)))</f>
        <v>100.20000000000002</v>
      </c>
      <c r="AJ39" s="14">
        <f>AI39*VLOOKUP('Données projet'!$B$10,Paramètres!$A$1:$I$89,3,0)*VLOOKUP('Données projet'!$B$10,Paramètres!$A$1:$I$89,5,0)</f>
        <v>65.651040000000009</v>
      </c>
      <c r="AK39" s="14">
        <f t="shared" si="35"/>
        <v>18.589459035175128</v>
      </c>
      <c r="AL39" s="22">
        <f t="shared" si="4"/>
        <v>146.71886915293001</v>
      </c>
      <c r="AM39" s="60">
        <f t="shared" si="5"/>
        <v>440.05220248626335</v>
      </c>
      <c r="AN39" s="60">
        <f ca="1">AVERAGE(OFFSET($AM$3,0,0,'Données projet'!$E$10+1,1))-AVERAGE(OFFSET($H$3,0,0,'Données projet'!$E$10+1,1))</f>
        <v>170.79567854714986</v>
      </c>
      <c r="AO39" s="60">
        <f t="shared" si="36"/>
        <v>155.92788004111191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7.6</v>
      </c>
      <c r="BD39" s="13">
        <f>IF('Données projet'!$A$88&gt;35,BD38+BC39-BL38,IF(A39&lt;'Données projet'!$A$88,$BA$205^A39,IF(A39='Données projet'!$A$88,'Données projet'!$B$88,BD38+BC39-BL38)))</f>
        <v>121.60000000000005</v>
      </c>
      <c r="BE39" s="14">
        <f>BD39*VLOOKUP('Données projet'!$B$11,Paramètres!$A$1:$I$89,3,0)*VLOOKUP('Données projet'!$B$11,Paramètres!$A$1:$I$89,5,0)</f>
        <v>98.641920000000042</v>
      </c>
      <c r="BF39" s="14">
        <f t="shared" si="37"/>
        <v>26.638196684151392</v>
      </c>
      <c r="BG39" s="22">
        <f t="shared" si="7"/>
        <v>218.19620322489709</v>
      </c>
      <c r="BH39" s="60">
        <f t="shared" si="8"/>
        <v>511.5295365582304</v>
      </c>
      <c r="BI39" s="60">
        <f ca="1">AVERAGE(OFFSET($BH$3,0,0,'Données projet'!$E$11+1,1))-AVERAGE(OFFSET($H$3,0,0,'Données projet'!$E$11+1,1))</f>
        <v>256.19915261735281</v>
      </c>
      <c r="BJ39" s="60">
        <f t="shared" si="38"/>
        <v>297.47246687305056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5.7692307692307709</v>
      </c>
      <c r="BY39" s="13">
        <f>IF('Données projet'!$A$114&gt;35,BY38+BX39-CG38,IF(A39&lt;'Données projet'!$A$114,$BV$205^A39,IF(A39='Données projet'!$A$114,'Données projet'!$B$114,BY38+BX39-CG38)))</f>
        <v>108.97435897435899</v>
      </c>
      <c r="BZ39" s="14">
        <f>BY39*VLOOKUP('Données projet'!$B$12,Paramètres!$A$1:$I$89,3,0)*VLOOKUP('Données projet'!$B$12,Paramètres!$A$1:$I$89,5,0)</f>
        <v>103.7</v>
      </c>
      <c r="CA39" s="14">
        <f t="shared" si="39"/>
        <v>27.841598996112509</v>
      </c>
      <c r="CB39" s="22">
        <f t="shared" si="10"/>
        <v>229.1016182515626</v>
      </c>
      <c r="CC39" s="60">
        <f t="shared" si="11"/>
        <v>522.43495158489588</v>
      </c>
      <c r="CD39" s="60">
        <f ca="1">AVERAGE(OFFSET($CC$3,0,0,'Données projet'!$E$12+1,1))-AVERAGE(OFFSET($H$3,0,0,'Données projet'!$E$12+1,1))</f>
        <v>353.53401919391234</v>
      </c>
      <c r="CE39" s="60">
        <f t="shared" si="40"/>
        <v>244.7141066773861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8.4</v>
      </c>
      <c r="CT39" s="13">
        <f>IF('Données projet'!$A$140&gt;35,CT38+CS39-DB38,IF(A39&lt;'Données projet'!$A$140,$CQ$205^A39,IF(A39='Données projet'!$A$140,'Données projet'!$B$140,CT38+CS39-DB38)))</f>
        <v>103.4</v>
      </c>
      <c r="CU39" s="18">
        <f>CT39*VLOOKUP('Données projet'!$B$13,Paramètres!$A$1:$I$89,3,0)*VLOOKUP('Données projet'!$B$13,Paramètres!$A$1:$I$89,5,0)</f>
        <v>87.104160000000007</v>
      </c>
      <c r="CV39" s="14">
        <f t="shared" si="41"/>
        <v>23.865494318543401</v>
      </c>
      <c r="CW39" s="22">
        <f t="shared" si="13"/>
        <v>193.27214793812973</v>
      </c>
      <c r="CX39" s="60">
        <f t="shared" si="14"/>
        <v>486.60548127146308</v>
      </c>
      <c r="CY39" s="60">
        <f ca="1">AVERAGE(OFFSET($CX$3,0,0,'Données projet'!$E$13+1,1))-AVERAGE(OFFSET($H$3,0,0,'Données projet'!$E$13+1,1))</f>
        <v>403.33327536410098</v>
      </c>
      <c r="CZ39" s="60">
        <f t="shared" si="42"/>
        <v>218.26721063098552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9.4399999999999977</v>
      </c>
      <c r="DO39" s="13">
        <f>IF('Données projet'!$A$166&gt;35,DO38+DN39-DW38,IF(A39&lt;'Données projet'!$A$166,$DL$205^A39,IF(A39='Données projet'!$A$166,'Données projet'!$B$166,DO38+DN39-DW38)))</f>
        <v>153.84</v>
      </c>
      <c r="DP39" s="18">
        <f>DO39*VLOOKUP('Données projet'!$B$14,Paramètres!$A$1:$I$89,3,0)*VLOOKUP('Données projet'!$B$14,Paramètres!$A$1:$I$89,5,0)</f>
        <v>122.395104</v>
      </c>
      <c r="DQ39" s="14">
        <f t="shared" si="43"/>
        <v>32.232973833847481</v>
      </c>
      <c r="DR39" s="22">
        <f t="shared" si="16"/>
        <v>269.31056889395103</v>
      </c>
      <c r="DS39" s="60">
        <f t="shared" si="17"/>
        <v>562.64390222728434</v>
      </c>
      <c r="DT39" s="60">
        <f ca="1">AVERAGE(OFFSET($DS$3,0,0,'Données projet'!$E$14+1,1))-AVERAGE(OFFSET($H$3,0,0,'Données projet'!$E$14+1,1))</f>
        <v>317.13087551964747</v>
      </c>
      <c r="DU39" s="60">
        <f t="shared" si="44"/>
        <v>293.43300041793185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7.580000000000001</v>
      </c>
      <c r="EJ39" s="13">
        <f>IF('Données projet'!$A$192&gt;35,EJ38+EI39-ER38,IF(A39&lt;'Données projet'!$A$192,$EG$205^A39,IF(A39='Données projet'!$A$192,'Données projet'!$B$192,EJ38+EI39-ER38)))</f>
        <v>122.68000000000004</v>
      </c>
      <c r="EK39" s="18">
        <f>EJ39*VLOOKUP('Données projet'!$B$15,Paramètres!$A$1:$I$89,3,0)*VLOOKUP('Données projet'!$B$15,Paramètres!$A$1:$I$89,5,0)</f>
        <v>97.604208000000042</v>
      </c>
      <c r="EL39" s="14">
        <f t="shared" si="45"/>
        <v>26.390430108921169</v>
      </c>
      <c r="EM39" s="22">
        <f t="shared" si="19"/>
        <v>215.95732803970441</v>
      </c>
      <c r="EN39" s="60">
        <f t="shared" si="20"/>
        <v>509.29066137303772</v>
      </c>
      <c r="EO39" s="60">
        <f ca="1">AVERAGE(OFFSET($EN$3,0,0,'Données projet'!$E$15+1,1))-AVERAGE(OFFSET($H$3,0,0,'Données projet'!$E$15+1,1))</f>
        <v>253.03289960511904</v>
      </c>
      <c r="EP39" s="60">
        <f t="shared" si="46"/>
        <v>236.85088713056018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7.580000000000001</v>
      </c>
      <c r="FE39" s="13">
        <f>IF('Données projet'!$A$218&gt;35,FE38+FD39-FM38,IF(A39&lt;'Données projet'!$A$218,$FB$205^A39,IF(A39='Données projet'!$A$218,'Données projet'!$B$218,FE38+FD39-FM38)))</f>
        <v>122.68000000000004</v>
      </c>
      <c r="FF39" s="18">
        <f>FE39*VLOOKUP('Données projet'!$B$16,Paramètres!$A$1:$I$89,3,0)*VLOOKUP('Données projet'!$B$16,Paramètres!$A$1:$I$89,5,0)</f>
        <v>107.17324800000004</v>
      </c>
      <c r="FG39" s="14">
        <f t="shared" si="47"/>
        <v>28.663974013695796</v>
      </c>
      <c r="FH39" s="22">
        <f t="shared" si="22"/>
        <v>236.5831616738536</v>
      </c>
      <c r="FI39" s="60">
        <f t="shared" si="23"/>
        <v>529.91649500718688</v>
      </c>
      <c r="FJ39" s="60">
        <f ca="1">AVERAGE(OFFSET($FI$3,0,0,'Données projet'!$E$16+1,1))-AVERAGE(OFFSET($H$3,0,0,'Données projet'!$E$16+1,1))</f>
        <v>274.38315511766132</v>
      </c>
      <c r="FK39" s="60">
        <f t="shared" si="48"/>
        <v>255.96663040027175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>
        <f>VLOOKUP(A39,'Données projet'!$A$243:$I$263,2,0)</f>
        <v>174</v>
      </c>
      <c r="FX39" s="13">
        <f>VLOOKUP(A39,'Données projet'!$A$243:$I$263,9,0)</f>
        <v>14.166666666666666</v>
      </c>
      <c r="FY39" s="13">
        <f t="array" ref="FY39">INDEX(FX:FX,MIN(IF(ISNUMBER(FX39:FX235),ROW(FX39:FX235),"")))</f>
        <v>14.166666666666666</v>
      </c>
      <c r="FZ39" s="13">
        <f>IF('Données projet'!$A$244&gt;35,FZ38+FY39-GH38,IF(A39&lt;'Données projet'!$A$244,$FW$205^A39,IF(A39='Données projet'!$A$244,'Données projet'!$B$244,FZ38+FY39-GH38)))</f>
        <v>173.99999999999997</v>
      </c>
      <c r="GA39" s="18">
        <f>FZ39*VLOOKUP('Données projet'!$B$17,Paramètres!$A$1:$I$89,3,0)*VLOOKUP('Données projet'!$B$17,Paramètres!$A$1:$I$89,5,0)</f>
        <v>149.29199999999997</v>
      </c>
      <c r="GB39" s="14">
        <f t="shared" si="49"/>
        <v>38.417645803815411</v>
      </c>
      <c r="GC39" s="22">
        <f t="shared" si="25"/>
        <v>326.9276331083118</v>
      </c>
      <c r="GD39" s="60">
        <f t="shared" si="26"/>
        <v>620.26096644164511</v>
      </c>
      <c r="GE39" s="60">
        <f ca="1">AVERAGE(OFFSET($GD$3,0,0,'Données projet'!$E$17+1,1))-AVERAGE(OFFSET($H$3,0,0,'Données projet'!$E$17+1,1))</f>
        <v>445.81166342116865</v>
      </c>
      <c r="GF39" s="60">
        <f t="shared" si="50"/>
        <v>230.82970731138215</v>
      </c>
      <c r="GG39" s="16">
        <f>IF(ISNA(VLOOKUP(A39,'Données projet'!$A$243:$I$263,3,0)),0,VLOOKUP(A39,'Données projet'!$A$243:$I$263,3,0))</f>
        <v>3</v>
      </c>
      <c r="GH39" s="16">
        <f>IF(ISNA(VLOOKUP(A39,'Données projet'!$A$243:$I$263,4,0)),0,VLOOKUP(A39,'Données projet'!$A$243:$I$263,4,0))</f>
        <v>60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11.5</v>
      </c>
      <c r="GU39" s="13">
        <f>IF('Données projet'!$A$270&gt;35,GU38+GT39-HC38,IF(A39&lt;'Données projet'!$A$270,$GR$205^A39,IF(A39='Données projet'!$A$270,'Données projet'!$B$270,GU38+GT39-HC38)))</f>
        <v>176.49999999999994</v>
      </c>
      <c r="GV39" s="18">
        <f>GU39*VLOOKUP('Données projet'!$B$18,Paramètres!$A$1:$I$89,3,0)*VLOOKUP('Données projet'!$B$18,Paramètres!$A$1:$I$89,5,0)</f>
        <v>137.66999999999996</v>
      </c>
      <c r="GW39" s="14">
        <f t="shared" si="51"/>
        <v>35.762714965854656</v>
      </c>
      <c r="GX39" s="22">
        <f t="shared" si="28"/>
        <v>302.06197856553007</v>
      </c>
      <c r="GY39" s="60">
        <f t="shared" si="29"/>
        <v>595.39531189886338</v>
      </c>
      <c r="GZ39" s="60">
        <f ca="1">AVERAGE(OFFSET($GY$3,0,0,'Données projet'!$E$18+1,1))-AVERAGE(OFFSET($H$3,0,0,'Données projet'!$E$18+1,1))</f>
        <v>289.19475369871481</v>
      </c>
      <c r="HA39" s="60">
        <f t="shared" si="52"/>
        <v>283.48738729114024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projet'!$B$18,Paramètres!$A$1:$I$89,3,0)*0.475*44/12</f>
        <v>0</v>
      </c>
      <c r="HH39" s="23">
        <f>EXP(-LN(2)/25)*HH38+(1-EXP(-LN(2)/25))/(LN(2)/25)*Calculateur!HC39*Calculateur!HE39*VLOOKUP('Données projet'!$B$18,Paramètres!$A$1:$I$89,3,0)*0.475*44/12</f>
        <v>0</v>
      </c>
      <c r="HI39" s="23">
        <f>EXP(-LN(2)/2)*HI38+(1-EXP(-LN(2)/2))/(LN(2)/2)*HC39*HF39*VLOOKUP('Données projet'!$B$18,Paramètres!$A$1:$I$89,3,0)*0.475*44/12</f>
        <v>0</v>
      </c>
      <c r="HJ39" s="24">
        <f t="shared" si="30"/>
        <v>0</v>
      </c>
    </row>
    <row r="40" spans="1:218" s="5" customFormat="1" x14ac:dyDescent="0.3">
      <c r="A40" s="11">
        <f t="shared" si="31"/>
        <v>37</v>
      </c>
      <c r="B40" s="75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8">
        <f t="shared" si="1"/>
        <v>256.66666666666669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111.80000000000001</v>
      </c>
      <c r="O40" s="14">
        <f>N40*VLOOKUP('Données projet'!$B$9,Paramètres!$A$1:$I$89,3,0)*VLOOKUP('Données projet'!$B$9,Paramètres!$A$1:$I$89,5,0)</f>
        <v>108.13296000000001</v>
      </c>
      <c r="P40" s="14">
        <f t="shared" si="33"/>
        <v>28.890658079177882</v>
      </c>
      <c r="Q40" s="22">
        <f t="shared" si="53"/>
        <v>238.64946815456815</v>
      </c>
      <c r="R40" s="60">
        <f t="shared" si="0"/>
        <v>531.9828014879015</v>
      </c>
      <c r="S40" s="60">
        <f ca="1">AVERAGE(OFFSET($R$3,0,0,'Données projet'!$E$9+1,1))-AVERAGE(OFFSET($H$3,0,0,'Données projet'!$E$9+1,1))</f>
        <v>456.86147223520601</v>
      </c>
      <c r="T40" s="60">
        <f t="shared" si="34"/>
        <v>244.45149244446094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3.2</v>
      </c>
      <c r="AI40" s="14">
        <f>IF('Données projet'!$A$62&gt;35,AI39+AH40-AQ39,IF(A40&lt;'Données projet'!$A$62,$AF$205^A40,IF(A40='Données projet'!$A$62,'Données projet'!$B$62,AI39+AH40-AQ39)))</f>
        <v>103.40000000000002</v>
      </c>
      <c r="AJ40" s="14">
        <f>AI40*VLOOKUP('Données projet'!$B$10,Paramètres!$A$1:$I$89,3,0)*VLOOKUP('Données projet'!$B$10,Paramètres!$A$1:$I$89,5,0)</f>
        <v>67.747680000000003</v>
      </c>
      <c r="AK40" s="14">
        <f t="shared" si="35"/>
        <v>19.113066947779238</v>
      </c>
      <c r="AL40" s="22">
        <f t="shared" si="4"/>
        <v>151.28246760071548</v>
      </c>
      <c r="AM40" s="60">
        <f t="shared" si="5"/>
        <v>444.61580093404882</v>
      </c>
      <c r="AN40" s="60">
        <f ca="1">AVERAGE(OFFSET($AM$3,0,0,'Données projet'!$E$10+1,1))-AVERAGE(OFFSET($H$3,0,0,'Données projet'!$E$10+1,1))</f>
        <v>170.79567854714986</v>
      </c>
      <c r="AO40" s="60">
        <f t="shared" si="36"/>
        <v>155.92788004111191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7.6</v>
      </c>
      <c r="BD40" s="13">
        <f>IF('Données projet'!$A$88&gt;35,BD39+BC40-BL39,IF(A40&lt;'Données projet'!$A$88,$BA$205^A40,IF(A40='Données projet'!$A$88,'Données projet'!$B$88,BD39+BC40-BL39)))</f>
        <v>129.20000000000005</v>
      </c>
      <c r="BE40" s="14">
        <f>BD40*VLOOKUP('Données projet'!$B$11,Paramètres!$A$1:$I$89,3,0)*VLOOKUP('Données projet'!$B$11,Paramètres!$A$1:$I$89,5,0)</f>
        <v>104.80704000000004</v>
      </c>
      <c r="BF40" s="14">
        <f t="shared" si="37"/>
        <v>28.104060486002457</v>
      </c>
      <c r="BG40" s="22">
        <f t="shared" si="7"/>
        <v>231.48683334645435</v>
      </c>
      <c r="BH40" s="60">
        <f t="shared" si="8"/>
        <v>524.82016667978769</v>
      </c>
      <c r="BI40" s="60">
        <f ca="1">AVERAGE(OFFSET($BH$3,0,0,'Données projet'!$E$11+1,1))-AVERAGE(OFFSET($H$3,0,0,'Données projet'!$E$11+1,1))</f>
        <v>256.19915261735281</v>
      </c>
      <c r="BJ40" s="60">
        <f t="shared" si="38"/>
        <v>297.47246687305056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5.7692307692307709</v>
      </c>
      <c r="BY40" s="13">
        <f>IF('Données projet'!$A$114&gt;35,BY39+BX40-CG39,IF(A40&lt;'Données projet'!$A$114,$BV$205^A40,IF(A40='Données projet'!$A$114,'Données projet'!$B$114,BY39+BX40-CG39)))</f>
        <v>114.74358974358977</v>
      </c>
      <c r="BZ40" s="14">
        <f>BY40*VLOOKUP('Données projet'!$B$12,Paramètres!$A$1:$I$89,3,0)*VLOOKUP('Données projet'!$B$12,Paramètres!$A$1:$I$89,5,0)</f>
        <v>109.19000000000001</v>
      </c>
      <c r="CA40" s="14">
        <f t="shared" si="39"/>
        <v>29.140060241717325</v>
      </c>
      <c r="CB40" s="22">
        <f t="shared" si="10"/>
        <v>240.92485492099104</v>
      </c>
      <c r="CC40" s="60">
        <f t="shared" si="11"/>
        <v>534.2581882543243</v>
      </c>
      <c r="CD40" s="60">
        <f ca="1">AVERAGE(OFFSET($CC$3,0,0,'Données projet'!$E$12+1,1))-AVERAGE(OFFSET($H$3,0,0,'Données projet'!$E$12+1,1))</f>
        <v>353.53401919391234</v>
      </c>
      <c r="CE40" s="60">
        <f t="shared" si="40"/>
        <v>244.7141066773861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8.4</v>
      </c>
      <c r="CT40" s="13">
        <f>IF('Données projet'!$A$140&gt;35,CT39+CS40-DB39,IF(A40&lt;'Données projet'!$A$140,$CQ$205^A40,IF(A40='Données projet'!$A$140,'Données projet'!$B$140,CT39+CS40-DB39)))</f>
        <v>111.80000000000001</v>
      </c>
      <c r="CU40" s="18">
        <f>CT40*VLOOKUP('Données projet'!$B$13,Paramètres!$A$1:$I$89,3,0)*VLOOKUP('Données projet'!$B$13,Paramètres!$A$1:$I$89,5,0)</f>
        <v>94.180320000000009</v>
      </c>
      <c r="CV40" s="14">
        <f t="shared" si="41"/>
        <v>25.570738079029208</v>
      </c>
      <c r="CW40" s="22">
        <f t="shared" si="13"/>
        <v>208.5664261543092</v>
      </c>
      <c r="CX40" s="60">
        <f t="shared" si="14"/>
        <v>501.89975948764254</v>
      </c>
      <c r="CY40" s="60">
        <f ca="1">AVERAGE(OFFSET($CX$3,0,0,'Données projet'!$E$13+1,1))-AVERAGE(OFFSET($H$3,0,0,'Données projet'!$E$13+1,1))</f>
        <v>403.33327536410098</v>
      </c>
      <c r="CZ40" s="60">
        <f t="shared" si="42"/>
        <v>218.26721063098552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9.4399999999999977</v>
      </c>
      <c r="DO40" s="13">
        <f>IF('Données projet'!$A$166&gt;35,DO39+DN40-DW39,IF(A40&lt;'Données projet'!$A$166,$DL$205^A40,IF(A40='Données projet'!$A$166,'Données projet'!$B$166,DO39+DN40-DW39)))</f>
        <v>163.28</v>
      </c>
      <c r="DP40" s="18">
        <f>DO40*VLOOKUP('Données projet'!$B$14,Paramètres!$A$1:$I$89,3,0)*VLOOKUP('Données projet'!$B$14,Paramètres!$A$1:$I$89,5,0)</f>
        <v>129.90556800000002</v>
      </c>
      <c r="DQ40" s="14">
        <f t="shared" si="43"/>
        <v>33.974537946999725</v>
      </c>
      <c r="DR40" s="22">
        <f t="shared" si="16"/>
        <v>285.42451785769123</v>
      </c>
      <c r="DS40" s="60">
        <f t="shared" si="17"/>
        <v>578.75785119102454</v>
      </c>
      <c r="DT40" s="60">
        <f ca="1">AVERAGE(OFFSET($DS$3,0,0,'Données projet'!$E$14+1,1))-AVERAGE(OFFSET($H$3,0,0,'Données projet'!$E$14+1,1))</f>
        <v>317.13087551964747</v>
      </c>
      <c r="DU40" s="60">
        <f t="shared" si="44"/>
        <v>293.43300041793185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7.580000000000001</v>
      </c>
      <c r="EJ40" s="13">
        <f>IF('Données projet'!$A$192&gt;35,EJ39+EI40-ER39,IF(A40&lt;'Données projet'!$A$192,$EG$205^A40,IF(A40='Données projet'!$A$192,'Données projet'!$B$192,EJ39+EI40-ER39)))</f>
        <v>130.26000000000005</v>
      </c>
      <c r="EK40" s="18">
        <f>EJ40*VLOOKUP('Données projet'!$B$15,Paramètres!$A$1:$I$89,3,0)*VLOOKUP('Données projet'!$B$15,Paramètres!$A$1:$I$89,5,0)</f>
        <v>103.63485600000004</v>
      </c>
      <c r="EL40" s="14">
        <f t="shared" si="45"/>
        <v>27.826144265894797</v>
      </c>
      <c r="EM40" s="22">
        <f t="shared" si="19"/>
        <v>228.96124212976682</v>
      </c>
      <c r="EN40" s="60">
        <f t="shared" si="20"/>
        <v>522.29457546310016</v>
      </c>
      <c r="EO40" s="60">
        <f ca="1">AVERAGE(OFFSET($EN$3,0,0,'Données projet'!$E$15+1,1))-AVERAGE(OFFSET($H$3,0,0,'Données projet'!$E$15+1,1))</f>
        <v>253.03289960511904</v>
      </c>
      <c r="EP40" s="60">
        <f t="shared" si="46"/>
        <v>236.85088713056018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7.580000000000001</v>
      </c>
      <c r="FE40" s="13">
        <f>IF('Données projet'!$A$218&gt;35,FE39+FD40-FM39,IF(A40&lt;'Données projet'!$A$218,$FB$205^A40,IF(A40='Données projet'!$A$218,'Données projet'!$B$218,FE39+FD40-FM39)))</f>
        <v>130.26000000000005</v>
      </c>
      <c r="FF40" s="18">
        <f>FE40*VLOOKUP('Données projet'!$B$16,Paramètres!$A$1:$I$89,3,0)*VLOOKUP('Données projet'!$B$16,Paramètres!$A$1:$I$89,5,0)</f>
        <v>113.79513600000004</v>
      </c>
      <c r="FG40" s="14">
        <f t="shared" si="47"/>
        <v>30.223375399604834</v>
      </c>
      <c r="FH40" s="22">
        <f t="shared" si="22"/>
        <v>250.83224068764514</v>
      </c>
      <c r="FI40" s="60">
        <f t="shared" si="23"/>
        <v>544.16557402097851</v>
      </c>
      <c r="FJ40" s="60">
        <f ca="1">AVERAGE(OFFSET($FI$3,0,0,'Données projet'!$E$16+1,1))-AVERAGE(OFFSET($H$3,0,0,'Données projet'!$E$16+1,1))</f>
        <v>274.38315511766132</v>
      </c>
      <c r="FK40" s="60">
        <f t="shared" si="48"/>
        <v>255.96663040027175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15.166666666666666</v>
      </c>
      <c r="FZ40" s="13">
        <f>IF('Données projet'!$A$244&gt;35,FZ39+FY40-GH39,IF(A40&lt;'Données projet'!$A$244,$FW$205^A40,IF(A40='Données projet'!$A$244,'Données projet'!$B$244,FZ39+FY40-GH39)))</f>
        <v>129.16666666666663</v>
      </c>
      <c r="GA40" s="18">
        <f>FZ40*VLOOKUP('Données projet'!$B$17,Paramètres!$A$1:$I$89,3,0)*VLOOKUP('Données projet'!$B$17,Paramètres!$A$1:$I$89,5,0)</f>
        <v>110.82499999999999</v>
      </c>
      <c r="GB40" s="14">
        <f t="shared" si="49"/>
        <v>29.525276397875576</v>
      </c>
      <c r="GC40" s="22">
        <f t="shared" si="25"/>
        <v>244.44339805963327</v>
      </c>
      <c r="GD40" s="60">
        <f t="shared" si="26"/>
        <v>537.77673139296655</v>
      </c>
      <c r="GE40" s="60">
        <f ca="1">AVERAGE(OFFSET($GD$3,0,0,'Données projet'!$E$17+1,1))-AVERAGE(OFFSET($H$3,0,0,'Données projet'!$E$17+1,1))</f>
        <v>445.81166342116865</v>
      </c>
      <c r="GF40" s="60">
        <f t="shared" si="50"/>
        <v>230.82970731138215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>
        <f>VLOOKUP(A40,'Données projet'!$A$269:$I$289,2,0)</f>
        <v>188</v>
      </c>
      <c r="GS40" s="13">
        <f>VLOOKUP(A40,'Données projet'!$A$269:$I$289,9,0)</f>
        <v>11.5</v>
      </c>
      <c r="GT40" s="13">
        <f t="array" ref="GT40">INDEX(GS:GS,MIN(IF(ISNUMBER(GS40:GS236),ROW(GS40:GS236),"")))</f>
        <v>11.5</v>
      </c>
      <c r="GU40" s="13">
        <f>IF('Données projet'!$A$270&gt;35,GU39+GT40-HC39,IF(A40&lt;'Données projet'!$A$270,$GR$205^A40,IF(A40='Données projet'!$A$270,'Données projet'!$B$270,GU39+GT40-HC39)))</f>
        <v>187.99999999999994</v>
      </c>
      <c r="GV40" s="18">
        <f>GU40*VLOOKUP('Données projet'!$B$18,Paramètres!$A$1:$I$89,3,0)*VLOOKUP('Données projet'!$B$18,Paramètres!$A$1:$I$89,5,0)</f>
        <v>146.63999999999996</v>
      </c>
      <c r="GW40" s="14">
        <f t="shared" si="51"/>
        <v>37.814009712703026</v>
      </c>
      <c r="GX40" s="22">
        <f t="shared" si="28"/>
        <v>321.25740024962437</v>
      </c>
      <c r="GY40" s="60">
        <f t="shared" si="29"/>
        <v>614.59073358295768</v>
      </c>
      <c r="GZ40" s="60">
        <f ca="1">AVERAGE(OFFSET($GY$3,0,0,'Données projet'!$E$18+1,1))-AVERAGE(OFFSET($H$3,0,0,'Données projet'!$E$18+1,1))</f>
        <v>289.19475369871481</v>
      </c>
      <c r="HA40" s="60">
        <f t="shared" si="52"/>
        <v>283.48738729114024</v>
      </c>
      <c r="HB40" s="16">
        <f>IF(ISNA(VLOOKUP(A40,'Données projet'!$A$269:$I$289,3,0)),0,VLOOKUP(A40,'Données projet'!$A$269:$I$289,3,0))</f>
        <v>4</v>
      </c>
      <c r="HC40" s="16">
        <f>IF(ISNA(VLOOKUP(A40,'Données projet'!$A$269:$I$289,4,0)),0,VLOOKUP(A40,'Données projet'!$A$269:$I$289,4,0))</f>
        <v>36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projet'!$B$18,Paramètres!$A$1:$I$89,3,0)*0.475*44/12</f>
        <v>0</v>
      </c>
      <c r="HH40" s="23">
        <f>EXP(-LN(2)/25)*HH39+(1-EXP(-LN(2)/25))/(LN(2)/25)*Calculateur!HC40*Calculateur!HE40*VLOOKUP('Données projet'!$B$18,Paramètres!$A$1:$I$89,3,0)*0.475*44/12</f>
        <v>0</v>
      </c>
      <c r="HI40" s="23">
        <f>EXP(-LN(2)/2)*HI39+(1-EXP(-LN(2)/2))/(LN(2)/2)*HC40*HF40*VLOOKUP('Données projet'!$B$18,Paramètres!$A$1:$I$89,3,0)*0.475*44/12</f>
        <v>0</v>
      </c>
      <c r="HJ40" s="24">
        <f t="shared" si="30"/>
        <v>0</v>
      </c>
    </row>
    <row r="41" spans="1:218" s="5" customFormat="1" x14ac:dyDescent="0.3">
      <c r="A41" s="11">
        <f t="shared" si="31"/>
        <v>38</v>
      </c>
      <c r="B41" s="75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8">
        <f t="shared" si="1"/>
        <v>256.66666666666669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120.20000000000002</v>
      </c>
      <c r="O41" s="14">
        <f>N41*VLOOKUP('Données projet'!$B$9,Paramètres!$A$1:$I$89,3,0)*VLOOKUP('Données projet'!$B$9,Paramètres!$A$1:$I$89,5,0)</f>
        <v>116.25744000000003</v>
      </c>
      <c r="P41" s="14">
        <f t="shared" si="33"/>
        <v>30.800505515381992</v>
      </c>
      <c r="Q41" s="22">
        <f t="shared" si="53"/>
        <v>256.12592177262371</v>
      </c>
      <c r="R41" s="60">
        <f t="shared" si="0"/>
        <v>549.45925510595703</v>
      </c>
      <c r="S41" s="60">
        <f ca="1">AVERAGE(OFFSET($R$3,0,0,'Données projet'!$E$9+1,1))-AVERAGE(OFFSET($H$3,0,0,'Données projet'!$E$9+1,1))</f>
        <v>456.86147223520601</v>
      </c>
      <c r="T41" s="60">
        <f t="shared" si="34"/>
        <v>244.45149244446094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3.2</v>
      </c>
      <c r="AI41" s="14">
        <f>IF('Données projet'!$A$62&gt;35,AI40+AH41-AQ40,IF(A41&lt;'Données projet'!$A$62,$AF$205^A41,IF(A41='Données projet'!$A$62,'Données projet'!$B$62,AI40+AH41-AQ40)))</f>
        <v>106.60000000000002</v>
      </c>
      <c r="AJ41" s="14">
        <f>AI41*VLOOKUP('Données projet'!$B$10,Paramètres!$A$1:$I$89,3,0)*VLOOKUP('Données projet'!$B$10,Paramètres!$A$1:$I$89,5,0)</f>
        <v>69.84432000000001</v>
      </c>
      <c r="AK41" s="14">
        <f t="shared" si="35"/>
        <v>19.634791732245578</v>
      </c>
      <c r="AL41" s="22">
        <f t="shared" si="4"/>
        <v>155.84278626699441</v>
      </c>
      <c r="AM41" s="60">
        <f t="shared" si="5"/>
        <v>449.17611960032775</v>
      </c>
      <c r="AN41" s="60">
        <f ca="1">AVERAGE(OFFSET($AM$3,0,0,'Données projet'!$E$10+1,1))-AVERAGE(OFFSET($H$3,0,0,'Données projet'!$E$10+1,1))</f>
        <v>170.79567854714986</v>
      </c>
      <c r="AO41" s="60">
        <f t="shared" si="36"/>
        <v>155.92788004111191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7.6</v>
      </c>
      <c r="BD41" s="13">
        <f>IF('Données projet'!$A$88&gt;35,BD40+BC41-BL40,IF(A41&lt;'Données projet'!$A$88,$BA$205^A41,IF(A41='Données projet'!$A$88,'Données projet'!$B$88,BD40+BC41-BL40)))</f>
        <v>136.80000000000004</v>
      </c>
      <c r="BE41" s="14">
        <f>BD41*VLOOKUP('Données projet'!$B$11,Paramètres!$A$1:$I$89,3,0)*VLOOKUP('Données projet'!$B$11,Paramètres!$A$1:$I$89,5,0)</f>
        <v>110.97216000000004</v>
      </c>
      <c r="BF41" s="14">
        <f t="shared" si="37"/>
        <v>29.559915623187329</v>
      </c>
      <c r="BG41" s="22">
        <f t="shared" si="7"/>
        <v>244.76003171038471</v>
      </c>
      <c r="BH41" s="60">
        <f t="shared" si="8"/>
        <v>538.09336504371799</v>
      </c>
      <c r="BI41" s="60">
        <f ca="1">AVERAGE(OFFSET($BH$3,0,0,'Données projet'!$E$11+1,1))-AVERAGE(OFFSET($H$3,0,0,'Données projet'!$E$11+1,1))</f>
        <v>256.19915261735281</v>
      </c>
      <c r="BJ41" s="60">
        <f t="shared" si="38"/>
        <v>297.47246687305056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5.7692307692307709</v>
      </c>
      <c r="BY41" s="13">
        <f>IF('Données projet'!$A$114&gt;35,BY40+BX41-CG40,IF(A41&lt;'Données projet'!$A$114,$BV$205^A41,IF(A41='Données projet'!$A$114,'Données projet'!$B$114,BY40+BX41-CG40)))</f>
        <v>120.51282051282054</v>
      </c>
      <c r="BZ41" s="14">
        <f>BY41*VLOOKUP('Données projet'!$B$12,Paramètres!$A$1:$I$89,3,0)*VLOOKUP('Données projet'!$B$12,Paramètres!$A$1:$I$89,5,0)</f>
        <v>114.68000000000002</v>
      </c>
      <c r="CA41" s="14">
        <f t="shared" si="39"/>
        <v>30.430941046845955</v>
      </c>
      <c r="CB41" s="22">
        <f t="shared" si="10"/>
        <v>252.73488898992335</v>
      </c>
      <c r="CC41" s="60">
        <f t="shared" si="11"/>
        <v>546.06822232325669</v>
      </c>
      <c r="CD41" s="60">
        <f ca="1">AVERAGE(OFFSET($CC$3,0,0,'Données projet'!$E$12+1,1))-AVERAGE(OFFSET($H$3,0,0,'Données projet'!$E$12+1,1))</f>
        <v>353.53401919391234</v>
      </c>
      <c r="CE41" s="60">
        <f t="shared" si="40"/>
        <v>244.7141066773861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8.4</v>
      </c>
      <c r="CT41" s="13">
        <f>IF('Données projet'!$A$140&gt;35,CT40+CS41-DB40,IF(A41&lt;'Données projet'!$A$140,$CQ$205^A41,IF(A41='Données projet'!$A$140,'Données projet'!$B$140,CT40+CS41-DB40)))</f>
        <v>120.20000000000002</v>
      </c>
      <c r="CU41" s="18">
        <f>CT41*VLOOKUP('Données projet'!$B$13,Paramètres!$A$1:$I$89,3,0)*VLOOKUP('Données projet'!$B$13,Paramètres!$A$1:$I$89,5,0)</f>
        <v>101.25648000000002</v>
      </c>
      <c r="CV41" s="14">
        <f t="shared" si="41"/>
        <v>27.261118700621143</v>
      </c>
      <c r="CW41" s="22">
        <f t="shared" si="13"/>
        <v>223.83481773691517</v>
      </c>
      <c r="CX41" s="60">
        <f t="shared" si="14"/>
        <v>517.16815107024854</v>
      </c>
      <c r="CY41" s="60">
        <f ca="1">AVERAGE(OFFSET($CX$3,0,0,'Données projet'!$E$13+1,1))-AVERAGE(OFFSET($H$3,0,0,'Données projet'!$E$13+1,1))</f>
        <v>403.33327536410098</v>
      </c>
      <c r="CZ41" s="60">
        <f t="shared" si="42"/>
        <v>218.26721063098552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9.4399999999999977</v>
      </c>
      <c r="DO41" s="13">
        <f>IF('Données projet'!$A$166&gt;35,DO40+DN41-DW40,IF(A41&lt;'Données projet'!$A$166,$DL$205^A41,IF(A41='Données projet'!$A$166,'Données projet'!$B$166,DO40+DN41-DW40)))</f>
        <v>172.72</v>
      </c>
      <c r="DP41" s="18">
        <f>DO41*VLOOKUP('Données projet'!$B$14,Paramètres!$A$1:$I$89,3,0)*VLOOKUP('Données projet'!$B$14,Paramètres!$A$1:$I$89,5,0)</f>
        <v>137.416032</v>
      </c>
      <c r="DQ41" s="14">
        <f t="shared" si="43"/>
        <v>35.7044144318684</v>
      </c>
      <c r="DR41" s="22">
        <f t="shared" si="16"/>
        <v>301.51811086883743</v>
      </c>
      <c r="DS41" s="60">
        <f t="shared" si="17"/>
        <v>594.8514442021708</v>
      </c>
      <c r="DT41" s="60">
        <f ca="1">AVERAGE(OFFSET($DS$3,0,0,'Données projet'!$E$14+1,1))-AVERAGE(OFFSET($H$3,0,0,'Données projet'!$E$14+1,1))</f>
        <v>317.13087551964747</v>
      </c>
      <c r="DU41" s="60">
        <f t="shared" si="44"/>
        <v>293.43300041793185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7.580000000000001</v>
      </c>
      <c r="EJ41" s="13">
        <f>IF('Données projet'!$A$192&gt;35,EJ40+EI41-ER40,IF(A41&lt;'Données projet'!$A$192,$EG$205^A41,IF(A41='Données projet'!$A$192,'Données projet'!$B$192,EJ40+EI41-ER40)))</f>
        <v>137.84000000000006</v>
      </c>
      <c r="EK41" s="18">
        <f>EJ41*VLOOKUP('Données projet'!$B$15,Paramètres!$A$1:$I$89,3,0)*VLOOKUP('Données projet'!$B$15,Paramètres!$A$1:$I$89,5,0)</f>
        <v>109.66550400000006</v>
      </c>
      <c r="EL41" s="14">
        <f t="shared" si="45"/>
        <v>29.252160742502774</v>
      </c>
      <c r="EM41" s="22">
        <f t="shared" si="19"/>
        <v>241.94826609319242</v>
      </c>
      <c r="EN41" s="60">
        <f t="shared" si="20"/>
        <v>535.28159942652576</v>
      </c>
      <c r="EO41" s="60">
        <f ca="1">AVERAGE(OFFSET($EN$3,0,0,'Données projet'!$E$15+1,1))-AVERAGE(OFFSET($H$3,0,0,'Données projet'!$E$15+1,1))</f>
        <v>253.03289960511904</v>
      </c>
      <c r="EP41" s="60">
        <f t="shared" si="46"/>
        <v>236.85088713056018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7.580000000000001</v>
      </c>
      <c r="FE41" s="13">
        <f>IF('Données projet'!$A$218&gt;35,FE40+FD41-FM40,IF(A41&lt;'Données projet'!$A$218,$FB$205^A41,IF(A41='Données projet'!$A$218,'Données projet'!$B$218,FE40+FD41-FM40)))</f>
        <v>137.84000000000006</v>
      </c>
      <c r="FF41" s="18">
        <f>FE41*VLOOKUP('Données projet'!$B$16,Paramètres!$A$1:$I$89,3,0)*VLOOKUP('Données projet'!$B$16,Paramètres!$A$1:$I$89,5,0)</f>
        <v>120.41702400000007</v>
      </c>
      <c r="FG41" s="14">
        <f t="shared" si="47"/>
        <v>31.772243646916021</v>
      </c>
      <c r="FH41" s="22">
        <f t="shared" si="22"/>
        <v>265.06297448504552</v>
      </c>
      <c r="FI41" s="60">
        <f t="shared" si="23"/>
        <v>558.39630781837877</v>
      </c>
      <c r="FJ41" s="60">
        <f ca="1">AVERAGE(OFFSET($FI$3,0,0,'Données projet'!$E$16+1,1))-AVERAGE(OFFSET($H$3,0,0,'Données projet'!$E$16+1,1))</f>
        <v>274.38315511766132</v>
      </c>
      <c r="FK41" s="60">
        <f t="shared" si="48"/>
        <v>255.96663040027175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15.166666666666666</v>
      </c>
      <c r="FZ41" s="13">
        <f>IF('Données projet'!$A$244&gt;35,FZ40+FY41-GH40,IF(A41&lt;'Données projet'!$A$244,$FW$205^A41,IF(A41='Données projet'!$A$244,'Données projet'!$B$244,FZ40+FY41-GH40)))</f>
        <v>144.33333333333329</v>
      </c>
      <c r="GA41" s="18">
        <f>FZ41*VLOOKUP('Données projet'!$B$17,Paramètres!$A$1:$I$89,3,0)*VLOOKUP('Données projet'!$B$17,Paramètres!$A$1:$I$89,5,0)</f>
        <v>123.83799999999997</v>
      </c>
      <c r="GB41" s="14">
        <f t="shared" si="49"/>
        <v>32.568503009939569</v>
      </c>
      <c r="GC41" s="22">
        <f t="shared" si="25"/>
        <v>272.40799274231136</v>
      </c>
      <c r="GD41" s="60">
        <f t="shared" si="26"/>
        <v>565.74132607564468</v>
      </c>
      <c r="GE41" s="60">
        <f ca="1">AVERAGE(OFFSET($GD$3,0,0,'Données projet'!$E$17+1,1))-AVERAGE(OFFSET($H$3,0,0,'Données projet'!$E$17+1,1))</f>
        <v>445.81166342116865</v>
      </c>
      <c r="GF41" s="60">
        <f t="shared" si="50"/>
        <v>230.82970731138215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11.142857142857142</v>
      </c>
      <c r="GU41" s="13">
        <f>IF('Données projet'!$A$270&gt;35,GU40+GT41-HC40,IF(A41&lt;'Données projet'!$A$270,$GR$205^A41,IF(A41='Données projet'!$A$270,'Données projet'!$B$270,GU40+GT41-HC40)))</f>
        <v>163.14285714285708</v>
      </c>
      <c r="GV41" s="18">
        <f>GU41*VLOOKUP('Données projet'!$B$18,Paramètres!$A$1:$I$89,3,0)*VLOOKUP('Données projet'!$B$18,Paramètres!$A$1:$I$89,5,0)</f>
        <v>127.25142857142853</v>
      </c>
      <c r="GW41" s="14">
        <f t="shared" si="51"/>
        <v>33.360457439554281</v>
      </c>
      <c r="GX41" s="22">
        <f t="shared" si="28"/>
        <v>279.73236813579501</v>
      </c>
      <c r="GY41" s="60">
        <f t="shared" si="29"/>
        <v>573.06570146912827</v>
      </c>
      <c r="GZ41" s="60">
        <f ca="1">AVERAGE(OFFSET($GY$3,0,0,'Données projet'!$E$18+1,1))-AVERAGE(OFFSET($H$3,0,0,'Données projet'!$E$18+1,1))</f>
        <v>289.19475369871481</v>
      </c>
      <c r="HA41" s="60">
        <f t="shared" si="52"/>
        <v>283.48738729114024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projet'!$B$18,Paramètres!$A$1:$I$89,3,0)*0.475*44/12</f>
        <v>0</v>
      </c>
      <c r="HH41" s="23">
        <f>EXP(-LN(2)/25)*HH40+(1-EXP(-LN(2)/25))/(LN(2)/25)*Calculateur!HC41*Calculateur!HE41*VLOOKUP('Données projet'!$B$18,Paramètres!$A$1:$I$89,3,0)*0.475*44/12</f>
        <v>0</v>
      </c>
      <c r="HI41" s="23">
        <f>EXP(-LN(2)/2)*HI40+(1-EXP(-LN(2)/2))/(LN(2)/2)*HC41*HF41*VLOOKUP('Données projet'!$B$18,Paramètres!$A$1:$I$89,3,0)*0.475*44/12</f>
        <v>0</v>
      </c>
      <c r="HJ41" s="24">
        <f t="shared" si="30"/>
        <v>0</v>
      </c>
    </row>
    <row r="42" spans="1:218" s="5" customFormat="1" x14ac:dyDescent="0.3">
      <c r="A42" s="11">
        <f t="shared" si="31"/>
        <v>39</v>
      </c>
      <c r="B42" s="75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8">
        <f t="shared" si="1"/>
        <v>256.66666666666669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128.60000000000002</v>
      </c>
      <c r="O42" s="14">
        <f>N42*VLOOKUP('Données projet'!$B$9,Paramètres!$A$1:$I$89,3,0)*VLOOKUP('Données projet'!$B$9,Paramètres!$A$1:$I$89,5,0)</f>
        <v>124.38192000000002</v>
      </c>
      <c r="P42" s="14">
        <f t="shared" si="33"/>
        <v>32.694867122876893</v>
      </c>
      <c r="Q42" s="22">
        <f t="shared" si="53"/>
        <v>273.5754042390106</v>
      </c>
      <c r="R42" s="60">
        <f t="shared" si="0"/>
        <v>566.90873757234385</v>
      </c>
      <c r="S42" s="60">
        <f ca="1">AVERAGE(OFFSET($R$3,0,0,'Données projet'!$E$9+1,1))-AVERAGE(OFFSET($H$3,0,0,'Données projet'!$E$9+1,1))</f>
        <v>456.86147223520601</v>
      </c>
      <c r="T42" s="60">
        <f t="shared" si="34"/>
        <v>244.45149244446094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3.2</v>
      </c>
      <c r="AI42" s="14">
        <f>IF('Données projet'!$A$62&gt;35,AI41+AH42-AQ41,IF(A42&lt;'Données projet'!$A$62,$AF$205^A42,IF(A42='Données projet'!$A$62,'Données projet'!$B$62,AI41+AH42-AQ41)))</f>
        <v>109.80000000000003</v>
      </c>
      <c r="AJ42" s="14">
        <f>AI42*VLOOKUP('Données projet'!$B$10,Paramètres!$A$1:$I$89,3,0)*VLOOKUP('Données projet'!$B$10,Paramètres!$A$1:$I$89,5,0)</f>
        <v>71.940960000000018</v>
      </c>
      <c r="AK42" s="14">
        <f t="shared" si="35"/>
        <v>20.154696406808874</v>
      </c>
      <c r="AL42" s="22">
        <f t="shared" si="4"/>
        <v>160.39993490852549</v>
      </c>
      <c r="AM42" s="60">
        <f t="shared" si="5"/>
        <v>453.73326824185881</v>
      </c>
      <c r="AN42" s="60">
        <f ca="1">AVERAGE(OFFSET($AM$3,0,0,'Données projet'!$E$10+1,1))-AVERAGE(OFFSET($H$3,0,0,'Données projet'!$E$10+1,1))</f>
        <v>170.79567854714986</v>
      </c>
      <c r="AO42" s="60">
        <f t="shared" si="36"/>
        <v>155.92788004111191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7.6</v>
      </c>
      <c r="BD42" s="13">
        <f>IF('Données projet'!$A$88&gt;35,BD41+BC42-BL41,IF(A42&lt;'Données projet'!$A$88,$BA$205^A42,IF(A42='Données projet'!$A$88,'Données projet'!$B$88,BD41+BC42-BL41)))</f>
        <v>144.40000000000003</v>
      </c>
      <c r="BE42" s="14">
        <f>BD42*VLOOKUP('Données projet'!$B$11,Paramètres!$A$1:$I$89,3,0)*VLOOKUP('Données projet'!$B$11,Paramètres!$A$1:$I$89,5,0)</f>
        <v>117.13728000000003</v>
      </c>
      <c r="BF42" s="14">
        <f t="shared" si="37"/>
        <v>31.006381507018595</v>
      </c>
      <c r="BG42" s="22">
        <f t="shared" si="7"/>
        <v>258.01687712472409</v>
      </c>
      <c r="BH42" s="60">
        <f t="shared" si="8"/>
        <v>551.3502104580574</v>
      </c>
      <c r="BI42" s="60">
        <f ca="1">AVERAGE(OFFSET($BH$3,0,0,'Données projet'!$E$11+1,1))-AVERAGE(OFFSET($H$3,0,0,'Données projet'!$E$11+1,1))</f>
        <v>256.19915261735281</v>
      </c>
      <c r="BJ42" s="60">
        <f t="shared" si="38"/>
        <v>297.47246687305056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5.7692307692307709</v>
      </c>
      <c r="BY42" s="13">
        <f>IF('Données projet'!$A$114&gt;35,BY41+BX42-CG41,IF(A42&lt;'Données projet'!$A$114,$BV$205^A42,IF(A42='Données projet'!$A$114,'Données projet'!$B$114,BY41+BX42-CG41)))</f>
        <v>126.28205128205131</v>
      </c>
      <c r="BZ42" s="14">
        <f>BY42*VLOOKUP('Données projet'!$B$12,Paramètres!$A$1:$I$89,3,0)*VLOOKUP('Données projet'!$B$12,Paramètres!$A$1:$I$89,5,0)</f>
        <v>120.17000000000003</v>
      </c>
      <c r="CA42" s="14">
        <f t="shared" si="39"/>
        <v>31.714645735009839</v>
      </c>
      <c r="CB42" s="22">
        <f t="shared" si="10"/>
        <v>264.53242465514222</v>
      </c>
      <c r="CC42" s="60">
        <f t="shared" si="11"/>
        <v>557.86575798847548</v>
      </c>
      <c r="CD42" s="60">
        <f ca="1">AVERAGE(OFFSET($CC$3,0,0,'Données projet'!$E$12+1,1))-AVERAGE(OFFSET($H$3,0,0,'Données projet'!$E$12+1,1))</f>
        <v>353.53401919391234</v>
      </c>
      <c r="CE42" s="60">
        <f t="shared" si="40"/>
        <v>244.7141066773861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8.4</v>
      </c>
      <c r="CT42" s="13">
        <f>IF('Données projet'!$A$140&gt;35,CT41+CS42-DB41,IF(A42&lt;'Données projet'!$A$140,$CQ$205^A42,IF(A42='Données projet'!$A$140,'Données projet'!$B$140,CT41+CS42-DB41)))</f>
        <v>128.60000000000002</v>
      </c>
      <c r="CU42" s="18">
        <f>CT42*VLOOKUP('Données projet'!$B$13,Paramètres!$A$1:$I$89,3,0)*VLOOKUP('Données projet'!$B$13,Paramètres!$A$1:$I$89,5,0)</f>
        <v>108.33264000000003</v>
      </c>
      <c r="CV42" s="14">
        <f t="shared" si="41"/>
        <v>28.937793020723745</v>
      </c>
      <c r="CW42" s="22">
        <f t="shared" si="13"/>
        <v>239.07933751109388</v>
      </c>
      <c r="CX42" s="60">
        <f t="shared" si="14"/>
        <v>532.41267084442723</v>
      </c>
      <c r="CY42" s="60">
        <f ca="1">AVERAGE(OFFSET($CX$3,0,0,'Données projet'!$E$13+1,1))-AVERAGE(OFFSET($H$3,0,0,'Données projet'!$E$13+1,1))</f>
        <v>403.33327536410098</v>
      </c>
      <c r="CZ42" s="60">
        <f t="shared" si="42"/>
        <v>218.26721063098552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9.4399999999999977</v>
      </c>
      <c r="DO42" s="13">
        <f>IF('Données projet'!$A$166&gt;35,DO41+DN42-DW41,IF(A42&lt;'Données projet'!$A$166,$DL$205^A42,IF(A42='Données projet'!$A$166,'Données projet'!$B$166,DO41+DN42-DW41)))</f>
        <v>182.16</v>
      </c>
      <c r="DP42" s="18">
        <f>DO42*VLOOKUP('Données projet'!$B$14,Paramètres!$A$1:$I$89,3,0)*VLOOKUP('Données projet'!$B$14,Paramètres!$A$1:$I$89,5,0)</f>
        <v>144.92649600000001</v>
      </c>
      <c r="DQ42" s="14">
        <f t="shared" si="43"/>
        <v>37.423314893488758</v>
      </c>
      <c r="DR42" s="22">
        <f t="shared" si="16"/>
        <v>317.5925873061596</v>
      </c>
      <c r="DS42" s="60">
        <f t="shared" si="17"/>
        <v>610.92592063949292</v>
      </c>
      <c r="DT42" s="60">
        <f ca="1">AVERAGE(OFFSET($DS$3,0,0,'Données projet'!$E$14+1,1))-AVERAGE(OFFSET($H$3,0,0,'Données projet'!$E$14+1,1))</f>
        <v>317.13087551964747</v>
      </c>
      <c r="DU42" s="60">
        <f t="shared" si="44"/>
        <v>293.43300041793185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7.580000000000001</v>
      </c>
      <c r="EJ42" s="13">
        <f>IF('Données projet'!$A$192&gt;35,EJ41+EI42-ER41,IF(A42&lt;'Données projet'!$A$192,$EG$205^A42,IF(A42='Données projet'!$A$192,'Données projet'!$B$192,EJ41+EI42-ER41)))</f>
        <v>145.42000000000007</v>
      </c>
      <c r="EK42" s="18">
        <f>EJ42*VLOOKUP('Données projet'!$B$15,Paramètres!$A$1:$I$89,3,0)*VLOOKUP('Données projet'!$B$15,Paramètres!$A$1:$I$89,5,0)</f>
        <v>115.69615200000005</v>
      </c>
      <c r="EL42" s="14">
        <f t="shared" si="45"/>
        <v>30.669073614921089</v>
      </c>
      <c r="EM42" s="22">
        <f t="shared" si="19"/>
        <v>254.9194346126543</v>
      </c>
      <c r="EN42" s="60">
        <f t="shared" si="20"/>
        <v>548.25276794598767</v>
      </c>
      <c r="EO42" s="60">
        <f ca="1">AVERAGE(OFFSET($EN$3,0,0,'Données projet'!$E$15+1,1))-AVERAGE(OFFSET($H$3,0,0,'Données projet'!$E$15+1,1))</f>
        <v>253.03289960511904</v>
      </c>
      <c r="EP42" s="60">
        <f t="shared" si="46"/>
        <v>236.85088713056018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7.580000000000001</v>
      </c>
      <c r="FE42" s="13">
        <f>IF('Données projet'!$A$218&gt;35,FE41+FD42-FM41,IF(A42&lt;'Données projet'!$A$218,$FB$205^A42,IF(A42='Données projet'!$A$218,'Données projet'!$B$218,FE41+FD42-FM41)))</f>
        <v>145.42000000000007</v>
      </c>
      <c r="FF42" s="18">
        <f>FE42*VLOOKUP('Données projet'!$B$16,Paramètres!$A$1:$I$89,3,0)*VLOOKUP('Données projet'!$B$16,Paramètres!$A$1:$I$89,5,0)</f>
        <v>127.03891200000008</v>
      </c>
      <c r="FG42" s="14">
        <f t="shared" si="47"/>
        <v>33.311224011655895</v>
      </c>
      <c r="FH42" s="22">
        <f t="shared" si="22"/>
        <v>279.27648688696752</v>
      </c>
      <c r="FI42" s="60">
        <f t="shared" si="23"/>
        <v>572.60982022030089</v>
      </c>
      <c r="FJ42" s="60">
        <f ca="1">AVERAGE(OFFSET($FI$3,0,0,'Données projet'!$E$16+1,1))-AVERAGE(OFFSET($H$3,0,0,'Données projet'!$E$16+1,1))</f>
        <v>274.38315511766132</v>
      </c>
      <c r="FK42" s="60">
        <f t="shared" si="48"/>
        <v>255.96663040027175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15.166666666666666</v>
      </c>
      <c r="FZ42" s="13">
        <f>IF('Données projet'!$A$244&gt;35,FZ41+FY42-GH41,IF(A42&lt;'Données projet'!$A$244,$FW$205^A42,IF(A42='Données projet'!$A$244,'Données projet'!$B$244,FZ41+FY42-GH41)))</f>
        <v>159.49999999999994</v>
      </c>
      <c r="GA42" s="18">
        <f>FZ42*VLOOKUP('Données projet'!$B$17,Paramètres!$A$1:$I$89,3,0)*VLOOKUP('Données projet'!$B$17,Paramètres!$A$1:$I$89,5,0)</f>
        <v>136.85099999999997</v>
      </c>
      <c r="GB42" s="14">
        <f t="shared" si="49"/>
        <v>35.574661452157265</v>
      </c>
      <c r="GC42" s="22">
        <f t="shared" si="25"/>
        <v>300.30802702917384</v>
      </c>
      <c r="GD42" s="60">
        <f t="shared" si="26"/>
        <v>593.64136036250716</v>
      </c>
      <c r="GE42" s="60">
        <f ca="1">AVERAGE(OFFSET($GD$3,0,0,'Données projet'!$E$17+1,1))-AVERAGE(OFFSET($H$3,0,0,'Données projet'!$E$17+1,1))</f>
        <v>445.81166342116865</v>
      </c>
      <c r="GF42" s="60">
        <f t="shared" si="50"/>
        <v>230.82970731138215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11.142857142857142</v>
      </c>
      <c r="GU42" s="13">
        <f>IF('Données projet'!$A$270&gt;35,GU41+GT42-HC41,IF(A42&lt;'Données projet'!$A$270,$GR$205^A42,IF(A42='Données projet'!$A$270,'Données projet'!$B$270,GU41+GT42-HC41)))</f>
        <v>174.28571428571422</v>
      </c>
      <c r="GV42" s="18">
        <f>GU42*VLOOKUP('Données projet'!$B$18,Paramètres!$A$1:$I$89,3,0)*VLOOKUP('Données projet'!$B$18,Paramètres!$A$1:$I$89,5,0)</f>
        <v>135.94285714285709</v>
      </c>
      <c r="GW42" s="14">
        <f t="shared" si="51"/>
        <v>35.365986273808367</v>
      </c>
      <c r="GX42" s="22">
        <f t="shared" si="28"/>
        <v>298.36290228402567</v>
      </c>
      <c r="GY42" s="60">
        <f t="shared" si="29"/>
        <v>591.69623561735898</v>
      </c>
      <c r="GZ42" s="60">
        <f ca="1">AVERAGE(OFFSET($GY$3,0,0,'Données projet'!$E$18+1,1))-AVERAGE(OFFSET($H$3,0,0,'Données projet'!$E$18+1,1))</f>
        <v>289.19475369871481</v>
      </c>
      <c r="HA42" s="60">
        <f t="shared" si="52"/>
        <v>283.48738729114024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projet'!$B$18,Paramètres!$A$1:$I$89,3,0)*0.475*44/12</f>
        <v>0</v>
      </c>
      <c r="HH42" s="23">
        <f>EXP(-LN(2)/25)*HH41+(1-EXP(-LN(2)/25))/(LN(2)/25)*Calculateur!HC42*Calculateur!HE42*VLOOKUP('Données projet'!$B$18,Paramètres!$A$1:$I$89,3,0)*0.475*44/12</f>
        <v>0</v>
      </c>
      <c r="HI42" s="23">
        <f>EXP(-LN(2)/2)*HI41+(1-EXP(-LN(2)/2))/(LN(2)/2)*HC42*HF42*VLOOKUP('Données projet'!$B$18,Paramètres!$A$1:$I$89,3,0)*0.475*44/12</f>
        <v>0</v>
      </c>
      <c r="HJ42" s="24">
        <f t="shared" si="30"/>
        <v>0</v>
      </c>
    </row>
    <row r="43" spans="1:218" s="5" customFormat="1" x14ac:dyDescent="0.3">
      <c r="A43" s="11">
        <f t="shared" si="31"/>
        <v>40</v>
      </c>
      <c r="B43" s="75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8">
        <f t="shared" si="1"/>
        <v>256.66666666666669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137.00000000000003</v>
      </c>
      <c r="O43" s="14">
        <f>N43*VLOOKUP('Données projet'!$B$9,Paramètres!$A$1:$I$89,3,0)*VLOOKUP('Données projet'!$B$9,Paramètres!$A$1:$I$89,5,0)</f>
        <v>132.50640000000001</v>
      </c>
      <c r="P43" s="14">
        <f t="shared" si="33"/>
        <v>34.574869530248939</v>
      </c>
      <c r="Q43" s="22">
        <f t="shared" si="53"/>
        <v>290.99987776518356</v>
      </c>
      <c r="R43" s="60">
        <f t="shared" si="0"/>
        <v>584.33321109851681</v>
      </c>
      <c r="S43" s="60">
        <f ca="1">AVERAGE(OFFSET($R$3,0,0,'Données projet'!$E$9+1,1))-AVERAGE(OFFSET($H$3,0,0,'Données projet'!$E$9+1,1))</f>
        <v>456.86147223520601</v>
      </c>
      <c r="T43" s="60">
        <f t="shared" si="34"/>
        <v>244.45149244446094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113</v>
      </c>
      <c r="AG43" s="13">
        <f>VLOOKUP(A43,'Données projet'!$A$61:$I$81,9,0)</f>
        <v>3.2</v>
      </c>
      <c r="AH43" s="13">
        <f t="array" ref="AH43">INDEX(AG:AG,MIN(IF(ISNUMBER(AG43:AG239),ROW(AG43:AG239),"")))</f>
        <v>3.2</v>
      </c>
      <c r="AI43" s="14">
        <f>IF('Données projet'!$A$62&gt;35,AI42+AH43-AQ42,IF(A43&lt;'Données projet'!$A$62,$AF$205^A43,IF(A43='Données projet'!$A$62,'Données projet'!$B$62,AI42+AH43-AQ42)))</f>
        <v>113.00000000000003</v>
      </c>
      <c r="AJ43" s="14">
        <f>AI43*VLOOKUP('Données projet'!$B$10,Paramètres!$A$1:$I$89,3,0)*VLOOKUP('Données projet'!$B$10,Paramètres!$A$1:$I$89,5,0)</f>
        <v>74.037600000000012</v>
      </c>
      <c r="AK43" s="14">
        <f t="shared" si="35"/>
        <v>20.67284010765167</v>
      </c>
      <c r="AL43" s="22">
        <f t="shared" si="4"/>
        <v>164.95401652082666</v>
      </c>
      <c r="AM43" s="60">
        <f t="shared" si="5"/>
        <v>458.28734985415997</v>
      </c>
      <c r="AN43" s="60">
        <f ca="1">AVERAGE(OFFSET($AM$3,0,0,'Données projet'!$E$10+1,1))-AVERAGE(OFFSET($H$3,0,0,'Données projet'!$E$10+1,1))</f>
        <v>170.79567854714986</v>
      </c>
      <c r="AO43" s="60">
        <f t="shared" si="36"/>
        <v>155.92788004111191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152</v>
      </c>
      <c r="BB43" s="13">
        <f>VLOOKUP(A43,'Données projet'!$A$87:$I$107,9,0)</f>
        <v>7.6</v>
      </c>
      <c r="BC43" s="13">
        <f t="array" ref="BC43">INDEX(BB:BB,MIN(IF(ISNUMBER(BB43:BB239),ROW(BB43:BB239),"")))</f>
        <v>7.6</v>
      </c>
      <c r="BD43" s="13">
        <f>IF('Données projet'!$A$88&gt;35,BD42+BC43-BL42,IF(A43&lt;'Données projet'!$A$88,$BA$205^A43,IF(A43='Données projet'!$A$88,'Données projet'!$B$88,BD42+BC43-BL42)))</f>
        <v>152.00000000000003</v>
      </c>
      <c r="BE43" s="14">
        <f>BD43*VLOOKUP('Données projet'!$B$11,Paramètres!$A$1:$I$89,3,0)*VLOOKUP('Données projet'!$B$11,Paramètres!$A$1:$I$89,5,0)</f>
        <v>123.30240000000003</v>
      </c>
      <c r="BF43" s="14">
        <f t="shared" si="37"/>
        <v>32.444008665071891</v>
      </c>
      <c r="BG43" s="22">
        <f t="shared" si="7"/>
        <v>271.25832842500023</v>
      </c>
      <c r="BH43" s="60">
        <f t="shared" si="8"/>
        <v>564.59166175833354</v>
      </c>
      <c r="BI43" s="60">
        <f ca="1">AVERAGE(OFFSET($BH$3,0,0,'Données projet'!$E$11+1,1))-AVERAGE(OFFSET($H$3,0,0,'Données projet'!$E$11+1,1))</f>
        <v>256.19915261735281</v>
      </c>
      <c r="BJ43" s="60">
        <f t="shared" si="38"/>
        <v>297.47246687305056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132.05128205128204</v>
      </c>
      <c r="BW43" s="13">
        <f>VLOOKUP(A43,'Données projet'!$A$113:$I$133,9,0)</f>
        <v>5.7692307692307709</v>
      </c>
      <c r="BX43" s="13">
        <f t="array" ref="BX43">INDEX(BW:BW,MIN(IF(ISNUMBER(BW43:BW239),ROW(BW43:BW239),"")))</f>
        <v>5.7692307692307709</v>
      </c>
      <c r="BY43" s="13">
        <f>IF('Données projet'!$A$114&gt;35,BY42+BX43-CG42,IF(A43&lt;'Données projet'!$A$114,$BV$205^A43,IF(A43='Données projet'!$A$114,'Données projet'!$B$114,BY42+BX43-CG42)))</f>
        <v>132.05128205128207</v>
      </c>
      <c r="BZ43" s="14">
        <f>BY43*VLOOKUP('Données projet'!$B$12,Paramètres!$A$1:$I$89,3,0)*VLOOKUP('Données projet'!$B$12,Paramètres!$A$1:$I$89,5,0)</f>
        <v>125.66000000000001</v>
      </c>
      <c r="CA43" s="14">
        <f t="shared" si="39"/>
        <v>32.991539598281548</v>
      </c>
      <c r="CB43" s="22">
        <f t="shared" si="10"/>
        <v>276.31809813367369</v>
      </c>
      <c r="CC43" s="60">
        <f t="shared" si="11"/>
        <v>569.651431467007</v>
      </c>
      <c r="CD43" s="60">
        <f ca="1">AVERAGE(OFFSET($CC$3,0,0,'Données projet'!$E$12+1,1))-AVERAGE(OFFSET($H$3,0,0,'Données projet'!$E$12+1,1))</f>
        <v>353.53401919391234</v>
      </c>
      <c r="CE43" s="60">
        <f t="shared" si="40"/>
        <v>244.7141066773861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137</v>
      </c>
      <c r="CR43" s="13">
        <f>VLOOKUP(A43,'Données projet'!$A$139:$I$159,9,0)</f>
        <v>8.4</v>
      </c>
      <c r="CS43" s="13">
        <f t="array" ref="CS43">INDEX(CR:CR,MIN(IF(ISNUMBER(CR43:CR239),ROW(CR43:CR239),"")))</f>
        <v>8.4</v>
      </c>
      <c r="CT43" s="13">
        <f>IF('Données projet'!$A$140&gt;35,CT42+CS43-DB42,IF(A43&lt;'Données projet'!$A$140,$CQ$205^A43,IF(A43='Données projet'!$A$140,'Données projet'!$B$140,CT42+CS43-DB42)))</f>
        <v>137.00000000000003</v>
      </c>
      <c r="CU43" s="18">
        <f>CT43*VLOOKUP('Données projet'!$B$13,Paramètres!$A$1:$I$89,3,0)*VLOOKUP('Données projet'!$B$13,Paramètres!$A$1:$I$89,5,0)</f>
        <v>115.40880000000003</v>
      </c>
      <c r="CV43" s="14">
        <f t="shared" si="41"/>
        <v>30.60175820334798</v>
      </c>
      <c r="CW43" s="22">
        <f t="shared" si="13"/>
        <v>254.30172220416443</v>
      </c>
      <c r="CX43" s="60">
        <f t="shared" si="14"/>
        <v>547.63505553749769</v>
      </c>
      <c r="CY43" s="60">
        <f ca="1">AVERAGE(OFFSET($CX$3,0,0,'Données projet'!$E$13+1,1))-AVERAGE(OFFSET($H$3,0,0,'Données projet'!$E$13+1,1))</f>
        <v>403.33327536410098</v>
      </c>
      <c r="CZ43" s="60">
        <f t="shared" si="42"/>
        <v>218.26721063098552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191.6</v>
      </c>
      <c r="DM43" s="13">
        <f>VLOOKUP(A43,'Données projet'!$A$165:$I$185,9,0)</f>
        <v>9.4399999999999977</v>
      </c>
      <c r="DN43" s="13">
        <f t="array" ref="DN43">INDEX(DM:DM,MIN(IF(ISNUMBER(DM43:DM239),ROW(DM43:DM239),"")))</f>
        <v>9.4399999999999977</v>
      </c>
      <c r="DO43" s="13">
        <f>IF('Données projet'!$A$166&gt;35,DO42+DN43-DW42,IF(A43&lt;'Données projet'!$A$166,$DL$205^A43,IF(A43='Données projet'!$A$166,'Données projet'!$B$166,DO42+DN43-DW42)))</f>
        <v>191.6</v>
      </c>
      <c r="DP43" s="18">
        <f>DO43*VLOOKUP('Données projet'!$B$14,Paramètres!$A$1:$I$89,3,0)*VLOOKUP('Données projet'!$B$14,Paramètres!$A$1:$I$89,5,0)</f>
        <v>152.43696</v>
      </c>
      <c r="DQ43" s="14">
        <f t="shared" si="43"/>
        <v>39.131873016703622</v>
      </c>
      <c r="DR43" s="22">
        <f t="shared" si="16"/>
        <v>333.64905083742542</v>
      </c>
      <c r="DS43" s="60">
        <f t="shared" si="17"/>
        <v>626.98238417075868</v>
      </c>
      <c r="DT43" s="60">
        <f ca="1">AVERAGE(OFFSET($DS$3,0,0,'Données projet'!$E$14+1,1))-AVERAGE(OFFSET($H$3,0,0,'Données projet'!$E$14+1,1))</f>
        <v>317.13087551964747</v>
      </c>
      <c r="DU43" s="60">
        <f t="shared" si="44"/>
        <v>293.43300041793185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153</v>
      </c>
      <c r="EH43" s="13">
        <f>VLOOKUP(A43,'Données projet'!$A$191:$I$211,9,0)</f>
        <v>7.580000000000001</v>
      </c>
      <c r="EI43" s="13">
        <f t="array" ref="EI43">INDEX(EH:EH,MIN(IF(ISNUMBER(EH43:EH239),ROW(EH43:EH239),"")))</f>
        <v>7.580000000000001</v>
      </c>
      <c r="EJ43" s="13">
        <f>IF('Données projet'!$A$192&gt;35,EJ42+EI43-ER42,IF(A43&lt;'Données projet'!$A$192,$EG$205^A43,IF(A43='Données projet'!$A$192,'Données projet'!$B$192,EJ42+EI43-ER42)))</f>
        <v>153.00000000000009</v>
      </c>
      <c r="EK43" s="18">
        <f>EJ43*VLOOKUP('Données projet'!$B$15,Paramètres!$A$1:$I$89,3,0)*VLOOKUP('Données projet'!$B$15,Paramètres!$A$1:$I$89,5,0)</f>
        <v>121.72680000000007</v>
      </c>
      <c r="EL43" s="14">
        <f t="shared" si="45"/>
        <v>32.077411529031998</v>
      </c>
      <c r="EM43" s="22">
        <f t="shared" si="19"/>
        <v>267.87566841306415</v>
      </c>
      <c r="EN43" s="60">
        <f t="shared" si="20"/>
        <v>561.20900174639746</v>
      </c>
      <c r="EO43" s="60">
        <f ca="1">AVERAGE(OFFSET($EN$3,0,0,'Données projet'!$E$15+1,1))-AVERAGE(OFFSET($H$3,0,0,'Données projet'!$E$15+1,1))</f>
        <v>253.03289960511904</v>
      </c>
      <c r="EP43" s="60">
        <f t="shared" si="46"/>
        <v>236.85088713056018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153</v>
      </c>
      <c r="FC43" s="13">
        <f>VLOOKUP(A43,'Données projet'!$A$217:$I$237,9,0)</f>
        <v>7.580000000000001</v>
      </c>
      <c r="FD43" s="13">
        <f t="array" ref="FD43">INDEX(FC:FC,MIN(IF(ISNUMBER(FC43:FC239),ROW(FC43:FC239),"")))</f>
        <v>7.580000000000001</v>
      </c>
      <c r="FE43" s="13">
        <f>IF('Données projet'!$A$218&gt;35,FE42+FD43-FM42,IF(A43&lt;'Données projet'!$A$218,$FB$205^A43,IF(A43='Données projet'!$A$218,'Données projet'!$B$218,FE42+FD43-FM42)))</f>
        <v>153.00000000000009</v>
      </c>
      <c r="FF43" s="18">
        <f>FE43*VLOOKUP('Données projet'!$B$16,Paramètres!$A$1:$I$89,3,0)*VLOOKUP('Données projet'!$B$16,Paramètres!$A$1:$I$89,5,0)</f>
        <v>133.66080000000008</v>
      </c>
      <c r="FG43" s="14">
        <f t="shared" si="47"/>
        <v>34.840890682716747</v>
      </c>
      <c r="FH43" s="22">
        <f t="shared" si="22"/>
        <v>293.47377793906509</v>
      </c>
      <c r="FI43" s="60">
        <f t="shared" si="23"/>
        <v>586.8071112723984</v>
      </c>
      <c r="FJ43" s="60">
        <f ca="1">AVERAGE(OFFSET($FI$3,0,0,'Données projet'!$E$16+1,1))-AVERAGE(OFFSET($H$3,0,0,'Données projet'!$E$16+1,1))</f>
        <v>274.38315511766132</v>
      </c>
      <c r="FK43" s="60">
        <f t="shared" si="48"/>
        <v>255.96663040027175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15.166666666666666</v>
      </c>
      <c r="FZ43" s="13">
        <f>IF('Données projet'!$A$244&gt;35,FZ42+FY43-GH42,IF(A43&lt;'Données projet'!$A$244,$FW$205^A43,IF(A43='Données projet'!$A$244,'Données projet'!$B$244,FZ42+FY43-GH42)))</f>
        <v>174.6666666666666</v>
      </c>
      <c r="GA43" s="18">
        <f>FZ43*VLOOKUP('Données projet'!$B$17,Paramètres!$A$1:$I$89,3,0)*VLOOKUP('Données projet'!$B$17,Paramètres!$A$1:$I$89,5,0)</f>
        <v>149.86399999999995</v>
      </c>
      <c r="GB43" s="14">
        <f t="shared" si="49"/>
        <v>38.547677501412096</v>
      </c>
      <c r="GC43" s="22">
        <f t="shared" si="25"/>
        <v>328.1503383149593</v>
      </c>
      <c r="GD43" s="60">
        <f t="shared" si="26"/>
        <v>621.48367164829256</v>
      </c>
      <c r="GE43" s="60">
        <f ca="1">AVERAGE(OFFSET($GD$3,0,0,'Données projet'!$E$17+1,1))-AVERAGE(OFFSET($H$3,0,0,'Données projet'!$E$17+1,1))</f>
        <v>445.81166342116865</v>
      </c>
      <c r="GF43" s="60">
        <f t="shared" si="50"/>
        <v>230.82970731138215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11.142857142857142</v>
      </c>
      <c r="GU43" s="13">
        <f>IF('Données projet'!$A$270&gt;35,GU42+GT43-HC42,IF(A43&lt;'Données projet'!$A$270,$GR$205^A43,IF(A43='Données projet'!$A$270,'Données projet'!$B$270,GU42+GT43-HC42)))</f>
        <v>185.42857142857136</v>
      </c>
      <c r="GV43" s="18">
        <f>GU43*VLOOKUP('Données projet'!$B$18,Paramètres!$A$1:$I$89,3,0)*VLOOKUP('Données projet'!$B$18,Paramètres!$A$1:$I$89,5,0)</f>
        <v>144.63428571428565</v>
      </c>
      <c r="GW43" s="14">
        <f t="shared" si="51"/>
        <v>37.356634728420524</v>
      </c>
      <c r="GX43" s="22">
        <f t="shared" si="28"/>
        <v>316.96751977104657</v>
      </c>
      <c r="GY43" s="60">
        <f t="shared" si="29"/>
        <v>610.30085310437994</v>
      </c>
      <c r="GZ43" s="60">
        <f ca="1">AVERAGE(OFFSET($GY$3,0,0,'Données projet'!$E$18+1,1))-AVERAGE(OFFSET($H$3,0,0,'Données projet'!$E$18+1,1))</f>
        <v>289.19475369871481</v>
      </c>
      <c r="HA43" s="60">
        <f t="shared" si="52"/>
        <v>283.48738729114024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projet'!$B$18,Paramètres!$A$1:$I$89,3,0)*0.475*44/12</f>
        <v>0</v>
      </c>
      <c r="HH43" s="23">
        <f>EXP(-LN(2)/25)*HH42+(1-EXP(-LN(2)/25))/(LN(2)/25)*Calculateur!HC43*Calculateur!HE43*VLOOKUP('Données projet'!$B$18,Paramètres!$A$1:$I$89,3,0)*0.475*44/12</f>
        <v>0</v>
      </c>
      <c r="HI43" s="23">
        <f>EXP(-LN(2)/2)*HI42+(1-EXP(-LN(2)/2))/(LN(2)/2)*HC43*HF43*VLOOKUP('Données projet'!$B$18,Paramètres!$A$1:$I$89,3,0)*0.475*44/12</f>
        <v>0</v>
      </c>
      <c r="HJ43" s="24">
        <f t="shared" si="30"/>
        <v>0</v>
      </c>
    </row>
    <row r="44" spans="1:218" s="5" customFormat="1" x14ac:dyDescent="0.3">
      <c r="A44" s="11">
        <f t="shared" si="31"/>
        <v>41</v>
      </c>
      <c r="B44" s="75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8">
        <f t="shared" si="1"/>
        <v>256.66666666666669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145.40000000000003</v>
      </c>
      <c r="O44" s="14">
        <f>N44*VLOOKUP('Données projet'!$B$9,Paramètres!$A$1:$I$89,3,0)*VLOOKUP('Données projet'!$B$9,Paramètres!$A$1:$I$89,5,0)</f>
        <v>140.63088000000005</v>
      </c>
      <c r="P44" s="14">
        <f t="shared" si="33"/>
        <v>36.441493403146445</v>
      </c>
      <c r="Q44" s="22">
        <f t="shared" si="53"/>
        <v>308.40105034381344</v>
      </c>
      <c r="R44" s="60">
        <f t="shared" si="0"/>
        <v>601.73438367714675</v>
      </c>
      <c r="S44" s="60">
        <f ca="1">AVERAGE(OFFSET($R$3,0,0,'Données projet'!$E$9+1,1))-AVERAGE(OFFSET($H$3,0,0,'Données projet'!$E$9+1,1))</f>
        <v>456.86147223520601</v>
      </c>
      <c r="T44" s="60">
        <f t="shared" si="34"/>
        <v>244.45149244446094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2.5</v>
      </c>
      <c r="AI44" s="14">
        <f>IF('Données projet'!$A$62&gt;35,AI43+AH44-AQ43,IF(A44&lt;'Données projet'!$A$62,$AF$205^A44,IF(A44='Données projet'!$A$62,'Données projet'!$B$62,AI43+AH44-AQ43)))</f>
        <v>115.50000000000003</v>
      </c>
      <c r="AJ44" s="14">
        <f>AI44*VLOOKUP('Données projet'!$B$10,Paramètres!$A$1:$I$89,3,0)*VLOOKUP('Données projet'!$B$10,Paramètres!$A$1:$I$89,5,0)</f>
        <v>75.675600000000017</v>
      </c>
      <c r="AK44" s="14">
        <f t="shared" si="35"/>
        <v>21.076450566911173</v>
      </c>
      <c r="AL44" s="22">
        <f t="shared" si="4"/>
        <v>168.50982140403698</v>
      </c>
      <c r="AM44" s="60">
        <f t="shared" si="5"/>
        <v>461.8431547373703</v>
      </c>
      <c r="AN44" s="60">
        <f ca="1">AVERAGE(OFFSET($AM$3,0,0,'Données projet'!$E$10+1,1))-AVERAGE(OFFSET($H$3,0,0,'Données projet'!$E$10+1,1))</f>
        <v>170.79567854714986</v>
      </c>
      <c r="AO44" s="60">
        <f t="shared" si="36"/>
        <v>155.92788004111191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7.6</v>
      </c>
      <c r="BD44" s="13">
        <f>IF('Données projet'!$A$88&gt;35,BD43+BC44-BL43,IF(A44&lt;'Données projet'!$A$88,$BA$205^A44,IF(A44='Données projet'!$A$88,'Données projet'!$B$88,BD43+BC44-BL43)))</f>
        <v>159.60000000000002</v>
      </c>
      <c r="BE44" s="14">
        <f>BD44*VLOOKUP('Données projet'!$B$11,Paramètres!$A$1:$I$89,3,0)*VLOOKUP('Données projet'!$B$11,Paramètres!$A$1:$I$89,5,0)</f>
        <v>129.46752000000004</v>
      </c>
      <c r="BF44" s="14">
        <f t="shared" si="37"/>
        <v>33.873289462262882</v>
      </c>
      <c r="BG44" s="22">
        <f t="shared" si="7"/>
        <v>284.48524314677451</v>
      </c>
      <c r="BH44" s="60">
        <f t="shared" si="8"/>
        <v>577.81857648010782</v>
      </c>
      <c r="BI44" s="60">
        <f ca="1">AVERAGE(OFFSET($BH$3,0,0,'Données projet'!$E$11+1,1))-AVERAGE(OFFSET($H$3,0,0,'Données projet'!$E$11+1,1))</f>
        <v>256.19915261735281</v>
      </c>
      <c r="BJ44" s="60">
        <f t="shared" si="38"/>
        <v>297.47246687305056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5.6410256410256405</v>
      </c>
      <c r="BY44" s="13">
        <f>IF('Données projet'!$A$114&gt;35,BY43+BX44-CG43,IF(A44&lt;'Données projet'!$A$114,$BV$205^A44,IF(A44='Données projet'!$A$114,'Données projet'!$B$114,BY43+BX44-CG43)))</f>
        <v>137.69230769230771</v>
      </c>
      <c r="BZ44" s="14">
        <f>BY44*VLOOKUP('Données projet'!$B$12,Paramètres!$A$1:$I$89,3,0)*VLOOKUP('Données projet'!$B$12,Paramètres!$A$1:$I$89,5,0)</f>
        <v>131.02800000000002</v>
      </c>
      <c r="CA44" s="14">
        <f t="shared" si="39"/>
        <v>34.23379094712331</v>
      </c>
      <c r="CB44" s="22">
        <f t="shared" si="10"/>
        <v>287.83095256623977</v>
      </c>
      <c r="CC44" s="60">
        <f t="shared" si="11"/>
        <v>581.16428589957309</v>
      </c>
      <c r="CD44" s="60">
        <f ca="1">AVERAGE(OFFSET($CC$3,0,0,'Données projet'!$E$12+1,1))-AVERAGE(OFFSET($H$3,0,0,'Données projet'!$E$12+1,1))</f>
        <v>353.53401919391234</v>
      </c>
      <c r="CE44" s="60">
        <f t="shared" si="40"/>
        <v>244.7141066773861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8.4</v>
      </c>
      <c r="CT44" s="13">
        <f>IF('Données projet'!$A$140&gt;35,CT43+CS44-DB43,IF(A44&lt;'Données projet'!$A$140,$CQ$205^A44,IF(A44='Données projet'!$A$140,'Données projet'!$B$140,CT43+CS44-DB43)))</f>
        <v>145.40000000000003</v>
      </c>
      <c r="CU44" s="18">
        <f>CT44*VLOOKUP('Données projet'!$B$13,Paramètres!$A$1:$I$89,3,0)*VLOOKUP('Données projet'!$B$13,Paramètres!$A$1:$I$89,5,0)</f>
        <v>122.48496000000003</v>
      </c>
      <c r="CV44" s="14">
        <f t="shared" si="41"/>
        <v>32.25388222264565</v>
      </c>
      <c r="CW44" s="22">
        <f t="shared" si="13"/>
        <v>269.50348353777451</v>
      </c>
      <c r="CX44" s="60">
        <f t="shared" si="14"/>
        <v>562.83681687110789</v>
      </c>
      <c r="CY44" s="60">
        <f ca="1">AVERAGE(OFFSET($CX$3,0,0,'Données projet'!$E$13+1,1))-AVERAGE(OFFSET($H$3,0,0,'Données projet'!$E$13+1,1))</f>
        <v>403.33327536410098</v>
      </c>
      <c r="CZ44" s="60">
        <f t="shared" si="42"/>
        <v>218.26721063098552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8.2000000000000064</v>
      </c>
      <c r="DO44" s="13">
        <f>IF('Données projet'!$A$166&gt;35,DO43+DN44-DW43,IF(A44&lt;'Données projet'!$A$166,$DL$205^A44,IF(A44='Données projet'!$A$166,'Données projet'!$B$166,DO43+DN44-DW43)))</f>
        <v>199.8</v>
      </c>
      <c r="DP44" s="18">
        <f>DO44*VLOOKUP('Données projet'!$B$14,Paramètres!$A$1:$I$89,3,0)*VLOOKUP('Données projet'!$B$14,Paramètres!$A$1:$I$89,5,0)</f>
        <v>158.96088000000003</v>
      </c>
      <c r="DQ44" s="14">
        <f t="shared" si="43"/>
        <v>40.608050185747139</v>
      </c>
      <c r="DR44" s="22">
        <f t="shared" si="16"/>
        <v>347.58255340684292</v>
      </c>
      <c r="DS44" s="60">
        <f t="shared" si="17"/>
        <v>640.91588674017623</v>
      </c>
      <c r="DT44" s="60">
        <f ca="1">AVERAGE(OFFSET($DS$3,0,0,'Données projet'!$E$14+1,1))-AVERAGE(OFFSET($H$3,0,0,'Données projet'!$E$14+1,1))</f>
        <v>317.13087551964747</v>
      </c>
      <c r="DU44" s="60">
        <f t="shared" si="44"/>
        <v>293.43300041793185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6.5200000000000049</v>
      </c>
      <c r="EJ44" s="13">
        <f>IF('Données projet'!$A$192&gt;35,EJ43+EI44-ER43,IF(A44&lt;'Données projet'!$A$192,$EG$205^A44,IF(A44='Données projet'!$A$192,'Données projet'!$B$192,EJ43+EI44-ER43)))</f>
        <v>159.5200000000001</v>
      </c>
      <c r="EK44" s="18">
        <f>EJ44*VLOOKUP('Données projet'!$B$15,Paramètres!$A$1:$I$89,3,0)*VLOOKUP('Données projet'!$B$15,Paramètres!$A$1:$I$89,5,0)</f>
        <v>126.91411200000009</v>
      </c>
      <c r="EL44" s="14">
        <f t="shared" si="45"/>
        <v>33.28230729651667</v>
      </c>
      <c r="EM44" s="22">
        <f t="shared" si="19"/>
        <v>279.00876360809997</v>
      </c>
      <c r="EN44" s="60">
        <f t="shared" si="20"/>
        <v>572.34209694143328</v>
      </c>
      <c r="EO44" s="60">
        <f ca="1">AVERAGE(OFFSET($EN$3,0,0,'Données projet'!$E$15+1,1))-AVERAGE(OFFSET($H$3,0,0,'Données projet'!$E$15+1,1))</f>
        <v>253.03289960511904</v>
      </c>
      <c r="EP44" s="60">
        <f t="shared" si="46"/>
        <v>236.85088713056018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6.5200000000000049</v>
      </c>
      <c r="FE44" s="13">
        <f>IF('Données projet'!$A$218&gt;35,FE43+FD44-FM43,IF(A44&lt;'Données projet'!$A$218,$FB$205^A44,IF(A44='Données projet'!$A$218,'Données projet'!$B$218,FE43+FD44-FM43)))</f>
        <v>159.5200000000001</v>
      </c>
      <c r="FF44" s="18">
        <f>FE44*VLOOKUP('Données projet'!$B$16,Paramètres!$A$1:$I$89,3,0)*VLOOKUP('Données projet'!$B$16,Paramètres!$A$1:$I$89,5,0)</f>
        <v>139.35667200000012</v>
      </c>
      <c r="FG44" s="14">
        <f t="shared" si="47"/>
        <v>36.149588601843064</v>
      </c>
      <c r="FH44" s="22">
        <f t="shared" si="22"/>
        <v>305.67340388154349</v>
      </c>
      <c r="FI44" s="60">
        <f t="shared" si="23"/>
        <v>599.00673721487681</v>
      </c>
      <c r="FJ44" s="60">
        <f ca="1">AVERAGE(OFFSET($FI$3,0,0,'Données projet'!$E$16+1,1))-AVERAGE(OFFSET($H$3,0,0,'Données projet'!$E$16+1,1))</f>
        <v>274.38315511766132</v>
      </c>
      <c r="FK44" s="60">
        <f t="shared" si="48"/>
        <v>255.96663040027175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15.166666666666666</v>
      </c>
      <c r="FZ44" s="13">
        <f>IF('Données projet'!$A$244&gt;35,FZ43+FY44-GH43,IF(A44&lt;'Données projet'!$A$244,$FW$205^A44,IF(A44='Données projet'!$A$244,'Données projet'!$B$244,FZ43+FY44-GH43)))</f>
        <v>189.83333333333326</v>
      </c>
      <c r="GA44" s="18">
        <f>FZ44*VLOOKUP('Données projet'!$B$17,Paramètres!$A$1:$I$89,3,0)*VLOOKUP('Données projet'!$B$17,Paramètres!$A$1:$I$89,5,0)</f>
        <v>162.87699999999995</v>
      </c>
      <c r="GB44" s="14">
        <f t="shared" si="49"/>
        <v>41.490756193100523</v>
      </c>
      <c r="GC44" s="22">
        <f t="shared" si="25"/>
        <v>355.94050870298332</v>
      </c>
      <c r="GD44" s="60">
        <f t="shared" si="26"/>
        <v>649.27384203631664</v>
      </c>
      <c r="GE44" s="60">
        <f ca="1">AVERAGE(OFFSET($GD$3,0,0,'Données projet'!$E$17+1,1))-AVERAGE(OFFSET($H$3,0,0,'Données projet'!$E$17+1,1))</f>
        <v>445.81166342116865</v>
      </c>
      <c r="GF44" s="60">
        <f t="shared" si="50"/>
        <v>230.82970731138215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11.142857142857142</v>
      </c>
      <c r="GU44" s="13">
        <f>IF('Données projet'!$A$270&gt;35,GU43+GT44-HC43,IF(A44&lt;'Données projet'!$A$270,$GR$205^A44,IF(A44='Données projet'!$A$270,'Données projet'!$B$270,GU43+GT44-HC43)))</f>
        <v>196.5714285714285</v>
      </c>
      <c r="GV44" s="18">
        <f>GU44*VLOOKUP('Données projet'!$B$18,Paramètres!$A$1:$I$89,3,0)*VLOOKUP('Données projet'!$B$18,Paramètres!$A$1:$I$89,5,0)</f>
        <v>153.32571428571424</v>
      </c>
      <c r="GW44" s="14">
        <f t="shared" si="51"/>
        <v>39.333398837614155</v>
      </c>
      <c r="GX44" s="22">
        <f t="shared" si="28"/>
        <v>335.5479553564636</v>
      </c>
      <c r="GY44" s="60">
        <f t="shared" si="29"/>
        <v>628.88128868979697</v>
      </c>
      <c r="GZ44" s="60">
        <f ca="1">AVERAGE(OFFSET($GY$3,0,0,'Données projet'!$E$18+1,1))-AVERAGE(OFFSET($H$3,0,0,'Données projet'!$E$18+1,1))</f>
        <v>289.19475369871481</v>
      </c>
      <c r="HA44" s="60">
        <f t="shared" si="52"/>
        <v>283.48738729114024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projet'!$B$18,Paramètres!$A$1:$I$89,3,0)*0.475*44/12</f>
        <v>0</v>
      </c>
      <c r="HH44" s="23">
        <f>EXP(-LN(2)/25)*HH43+(1-EXP(-LN(2)/25))/(LN(2)/25)*Calculateur!HC44*Calculateur!HE44*VLOOKUP('Données projet'!$B$18,Paramètres!$A$1:$I$89,3,0)*0.475*44/12</f>
        <v>0</v>
      </c>
      <c r="HI44" s="23">
        <f>EXP(-LN(2)/2)*HI43+(1-EXP(-LN(2)/2))/(LN(2)/2)*HC44*HF44*VLOOKUP('Données projet'!$B$18,Paramètres!$A$1:$I$89,3,0)*0.475*44/12</f>
        <v>0</v>
      </c>
      <c r="HJ44" s="24">
        <f t="shared" si="30"/>
        <v>0</v>
      </c>
    </row>
    <row r="45" spans="1:218" s="5" customFormat="1" x14ac:dyDescent="0.3">
      <c r="A45" s="11">
        <f t="shared" si="31"/>
        <v>42</v>
      </c>
      <c r="B45" s="75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8">
        <f t="shared" si="1"/>
        <v>256.66666666666669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153.80000000000004</v>
      </c>
      <c r="O45" s="14">
        <f>N45*VLOOKUP('Données projet'!$B$9,Paramètres!$A$1:$I$89,3,0)*VLOOKUP('Données projet'!$B$9,Paramètres!$A$1:$I$89,5,0)</f>
        <v>148.75536000000005</v>
      </c>
      <c r="P45" s="14">
        <f t="shared" si="33"/>
        <v>38.295599697511591</v>
      </c>
      <c r="Q45" s="22">
        <f t="shared" si="53"/>
        <v>325.78042147316609</v>
      </c>
      <c r="R45" s="60">
        <f t="shared" si="0"/>
        <v>619.1137548064994</v>
      </c>
      <c r="S45" s="60">
        <f ca="1">AVERAGE(OFFSET($R$3,0,0,'Données projet'!$E$9+1,1))-AVERAGE(OFFSET($H$3,0,0,'Données projet'!$E$9+1,1))</f>
        <v>456.86147223520601</v>
      </c>
      <c r="T45" s="60">
        <f t="shared" si="34"/>
        <v>244.45149244446094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2.5</v>
      </c>
      <c r="AI45" s="14">
        <f>IF('Données projet'!$A$62&gt;35,AI44+AH45-AQ44,IF(A45&lt;'Données projet'!$A$62,$AF$205^A45,IF(A45='Données projet'!$A$62,'Données projet'!$B$62,AI44+AH45-AQ44)))</f>
        <v>118.00000000000003</v>
      </c>
      <c r="AJ45" s="14">
        <f>AI45*VLOOKUP('Données projet'!$B$10,Paramètres!$A$1:$I$89,3,0)*VLOOKUP('Données projet'!$B$10,Paramètres!$A$1:$I$89,5,0)</f>
        <v>77.313600000000022</v>
      </c>
      <c r="AK45" s="14">
        <f t="shared" si="35"/>
        <v>21.479045333592058</v>
      </c>
      <c r="AL45" s="22">
        <f t="shared" si="4"/>
        <v>172.06385728933955</v>
      </c>
      <c r="AM45" s="60">
        <f t="shared" si="5"/>
        <v>465.39719062267284</v>
      </c>
      <c r="AN45" s="60">
        <f ca="1">AVERAGE(OFFSET($AM$3,0,0,'Données projet'!$E$10+1,1))-AVERAGE(OFFSET($H$3,0,0,'Données projet'!$E$10+1,1))</f>
        <v>170.79567854714986</v>
      </c>
      <c r="AO45" s="60">
        <f t="shared" si="36"/>
        <v>155.92788004111191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7.6</v>
      </c>
      <c r="BD45" s="13">
        <f>IF('Données projet'!$A$88&gt;35,BD44+BC45-BL44,IF(A45&lt;'Données projet'!$A$88,$BA$205^A45,IF(A45='Données projet'!$A$88,'Données projet'!$B$88,BD44+BC45-BL44)))</f>
        <v>167.20000000000002</v>
      </c>
      <c r="BE45" s="14">
        <f>BD45*VLOOKUP('Données projet'!$B$11,Paramètres!$A$1:$I$89,3,0)*VLOOKUP('Données projet'!$B$11,Paramètres!$A$1:$I$89,5,0)</f>
        <v>135.63264000000004</v>
      </c>
      <c r="BF45" s="14">
        <f t="shared" si="37"/>
        <v>35.294666721954265</v>
      </c>
      <c r="BG45" s="22">
        <f t="shared" si="7"/>
        <v>297.69839254073707</v>
      </c>
      <c r="BH45" s="60">
        <f t="shared" si="8"/>
        <v>591.03172587407039</v>
      </c>
      <c r="BI45" s="60">
        <f ca="1">AVERAGE(OFFSET($BH$3,0,0,'Données projet'!$E$11+1,1))-AVERAGE(OFFSET($H$3,0,0,'Données projet'!$E$11+1,1))</f>
        <v>256.19915261735281</v>
      </c>
      <c r="BJ45" s="60">
        <f t="shared" si="38"/>
        <v>297.47246687305056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5.6410256410256405</v>
      </c>
      <c r="BY45" s="13">
        <f>IF('Données projet'!$A$114&gt;35,BY44+BX45-CG44,IF(A45&lt;'Données projet'!$A$114,$BV$205^A45,IF(A45='Données projet'!$A$114,'Données projet'!$B$114,BY44+BX45-CG44)))</f>
        <v>143.33333333333334</v>
      </c>
      <c r="BZ45" s="14">
        <f>BY45*VLOOKUP('Données projet'!$B$12,Paramètres!$A$1:$I$89,3,0)*VLOOKUP('Données projet'!$B$12,Paramètres!$A$1:$I$89,5,0)</f>
        <v>136.39600000000002</v>
      </c>
      <c r="CA45" s="14">
        <f t="shared" si="39"/>
        <v>35.470130709133613</v>
      </c>
      <c r="CB45" s="22">
        <f t="shared" si="10"/>
        <v>299.33351098507438</v>
      </c>
      <c r="CC45" s="60">
        <f t="shared" si="11"/>
        <v>592.6668443184077</v>
      </c>
      <c r="CD45" s="60">
        <f ca="1">AVERAGE(OFFSET($CC$3,0,0,'Données projet'!$E$12+1,1))-AVERAGE(OFFSET($H$3,0,0,'Données projet'!$E$12+1,1))</f>
        <v>353.53401919391234</v>
      </c>
      <c r="CE45" s="60">
        <f t="shared" si="40"/>
        <v>244.7141066773861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8.4</v>
      </c>
      <c r="CT45" s="13">
        <f>IF('Données projet'!$A$140&gt;35,CT44+CS45-DB44,IF(A45&lt;'Données projet'!$A$140,$CQ$205^A45,IF(A45='Données projet'!$A$140,'Données projet'!$B$140,CT44+CS45-DB44)))</f>
        <v>153.80000000000004</v>
      </c>
      <c r="CU45" s="18">
        <f>CT45*VLOOKUP('Données projet'!$B$13,Paramètres!$A$1:$I$89,3,0)*VLOOKUP('Données projet'!$B$13,Paramètres!$A$1:$I$89,5,0)</f>
        <v>129.56112000000005</v>
      </c>
      <c r="CV45" s="14">
        <f t="shared" si="41"/>
        <v>33.894927099295955</v>
      </c>
      <c r="CW45" s="22">
        <f t="shared" si="13"/>
        <v>284.68594869794055</v>
      </c>
      <c r="CX45" s="60">
        <f t="shared" si="14"/>
        <v>578.01928203127386</v>
      </c>
      <c r="CY45" s="60">
        <f ca="1">AVERAGE(OFFSET($CX$3,0,0,'Données projet'!$E$13+1,1))-AVERAGE(OFFSET($H$3,0,0,'Données projet'!$E$13+1,1))</f>
        <v>403.33327536410098</v>
      </c>
      <c r="CZ45" s="60">
        <f t="shared" si="42"/>
        <v>218.26721063098552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8.2000000000000064</v>
      </c>
      <c r="DO45" s="13">
        <f>IF('Données projet'!$A$166&gt;35,DO44+DN45-DW44,IF(A45&lt;'Données projet'!$A$166,$DL$205^A45,IF(A45='Données projet'!$A$166,'Données projet'!$B$166,DO44+DN45-DW44)))</f>
        <v>208.00000000000003</v>
      </c>
      <c r="DP45" s="18">
        <f>DO45*VLOOKUP('Données projet'!$B$14,Paramètres!$A$1:$I$89,3,0)*VLOOKUP('Données projet'!$B$14,Paramètres!$A$1:$I$89,5,0)</f>
        <v>165.48480000000004</v>
      </c>
      <c r="DQ45" s="14">
        <f t="shared" si="43"/>
        <v>42.077190125964044</v>
      </c>
      <c r="DR45" s="22">
        <f t="shared" si="16"/>
        <v>361.50379946938739</v>
      </c>
      <c r="DS45" s="60">
        <f t="shared" si="17"/>
        <v>654.8371328027207</v>
      </c>
      <c r="DT45" s="60">
        <f ca="1">AVERAGE(OFFSET($DS$3,0,0,'Données projet'!$E$14+1,1))-AVERAGE(OFFSET($H$3,0,0,'Données projet'!$E$14+1,1))</f>
        <v>317.13087551964747</v>
      </c>
      <c r="DU45" s="60">
        <f t="shared" si="44"/>
        <v>293.43300041793185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6.5200000000000049</v>
      </c>
      <c r="EJ45" s="13">
        <f>IF('Données projet'!$A$192&gt;35,EJ44+EI45-ER44,IF(A45&lt;'Données projet'!$A$192,$EG$205^A45,IF(A45='Données projet'!$A$192,'Données projet'!$B$192,EJ44+EI45-ER44)))</f>
        <v>166.04000000000011</v>
      </c>
      <c r="EK45" s="18">
        <f>EJ45*VLOOKUP('Données projet'!$B$15,Paramètres!$A$1:$I$89,3,0)*VLOOKUP('Données projet'!$B$15,Paramètres!$A$1:$I$89,5,0)</f>
        <v>132.10142400000009</v>
      </c>
      <c r="EL45" s="14">
        <f t="shared" si="45"/>
        <v>34.481482617168254</v>
      </c>
      <c r="EM45" s="22">
        <f t="shared" si="19"/>
        <v>290.13189569156822</v>
      </c>
      <c r="EN45" s="60">
        <f t="shared" si="20"/>
        <v>583.46522902490153</v>
      </c>
      <c r="EO45" s="60">
        <f ca="1">AVERAGE(OFFSET($EN$3,0,0,'Données projet'!$E$15+1,1))-AVERAGE(OFFSET($H$3,0,0,'Données projet'!$E$15+1,1))</f>
        <v>253.03289960511904</v>
      </c>
      <c r="EP45" s="60">
        <f t="shared" si="46"/>
        <v>236.85088713056018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6.5200000000000049</v>
      </c>
      <c r="FE45" s="13">
        <f>IF('Données projet'!$A$218&gt;35,FE44+FD45-FM44,IF(A45&lt;'Données projet'!$A$218,$FB$205^A45,IF(A45='Données projet'!$A$218,'Données projet'!$B$218,FE44+FD45-FM44)))</f>
        <v>166.04000000000011</v>
      </c>
      <c r="FF45" s="18">
        <f>FE45*VLOOKUP('Données projet'!$B$16,Paramètres!$A$1:$I$89,3,0)*VLOOKUP('Données projet'!$B$16,Paramètres!$A$1:$I$89,5,0)</f>
        <v>145.05254400000013</v>
      </c>
      <c r="FG45" s="14">
        <f t="shared" si="47"/>
        <v>37.452073255831394</v>
      </c>
      <c r="FH45" s="22">
        <f t="shared" si="22"/>
        <v>317.86220838723989</v>
      </c>
      <c r="FI45" s="60">
        <f t="shared" si="23"/>
        <v>611.19554172057315</v>
      </c>
      <c r="FJ45" s="60">
        <f ca="1">AVERAGE(OFFSET($FI$3,0,0,'Données projet'!$E$16+1,1))-AVERAGE(OFFSET($H$3,0,0,'Données projet'!$E$16+1,1))</f>
        <v>274.38315511766132</v>
      </c>
      <c r="FK45" s="60">
        <f t="shared" si="48"/>
        <v>255.96663040027175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>
        <f>VLOOKUP(A45,'Données projet'!$A$243:$I$263,2,0)</f>
        <v>205</v>
      </c>
      <c r="FX45" s="13">
        <f>VLOOKUP(A45,'Données projet'!$A$243:$I$263,9,0)</f>
        <v>15.166666666666666</v>
      </c>
      <c r="FY45" s="13">
        <f t="array" ref="FY45">INDEX(FX:FX,MIN(IF(ISNUMBER(FX45:FX241),ROW(FX45:FX241),"")))</f>
        <v>15.166666666666666</v>
      </c>
      <c r="FZ45" s="13">
        <f>IF('Données projet'!$A$244&gt;35,FZ44+FY45-GH44,IF(A45&lt;'Données projet'!$A$244,$FW$205^A45,IF(A45='Données projet'!$A$244,'Données projet'!$B$244,FZ44+FY45-GH44)))</f>
        <v>204.99999999999991</v>
      </c>
      <c r="GA45" s="18">
        <f>FZ45*VLOOKUP('Données projet'!$B$17,Paramètres!$A$1:$I$89,3,0)*VLOOKUP('Données projet'!$B$17,Paramètres!$A$1:$I$89,5,0)</f>
        <v>175.88999999999993</v>
      </c>
      <c r="GB45" s="14">
        <f t="shared" si="49"/>
        <v>44.406561291935212</v>
      </c>
      <c r="GC45" s="22">
        <f t="shared" si="25"/>
        <v>383.6831775834537</v>
      </c>
      <c r="GD45" s="60">
        <f t="shared" si="26"/>
        <v>677.01651091678696</v>
      </c>
      <c r="GE45" s="60">
        <f ca="1">AVERAGE(OFFSET($GD$3,0,0,'Données projet'!$E$17+1,1))-AVERAGE(OFFSET($H$3,0,0,'Données projet'!$E$17+1,1))</f>
        <v>445.81166342116865</v>
      </c>
      <c r="GF45" s="60">
        <f t="shared" si="50"/>
        <v>230.82970731138215</v>
      </c>
      <c r="GG45" s="16">
        <f>IF(ISNA(VLOOKUP(A45,'Données projet'!$A$243:$I$263,3,0)),0,VLOOKUP(A45,'Données projet'!$A$243:$I$263,3,0))</f>
        <v>4</v>
      </c>
      <c r="GH45" s="16">
        <f>IF(ISNA(VLOOKUP(A45,'Données projet'!$A$243:$I$263,4,0)),0,VLOOKUP(A45,'Données projet'!$A$243:$I$263,4,0))</f>
        <v>59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11.142857142857142</v>
      </c>
      <c r="GU45" s="13">
        <f>IF('Données projet'!$A$270&gt;35,GU44+GT45-HC44,IF(A45&lt;'Données projet'!$A$270,$GR$205^A45,IF(A45='Données projet'!$A$270,'Données projet'!$B$270,GU44+GT45-HC44)))</f>
        <v>207.71428571428564</v>
      </c>
      <c r="GV45" s="18">
        <f>GU45*VLOOKUP('Données projet'!$B$18,Paramètres!$A$1:$I$89,3,0)*VLOOKUP('Données projet'!$B$18,Paramètres!$A$1:$I$89,5,0)</f>
        <v>162.0171428571428</v>
      </c>
      <c r="GW45" s="14">
        <f t="shared" si="51"/>
        <v>41.29715533509664</v>
      </c>
      <c r="GX45" s="22">
        <f t="shared" si="28"/>
        <v>354.10573601815037</v>
      </c>
      <c r="GY45" s="60">
        <f t="shared" si="29"/>
        <v>647.43906935148368</v>
      </c>
      <c r="GZ45" s="60">
        <f ca="1">AVERAGE(OFFSET($GY$3,0,0,'Données projet'!$E$18+1,1))-AVERAGE(OFFSET($H$3,0,0,'Données projet'!$E$18+1,1))</f>
        <v>289.19475369871481</v>
      </c>
      <c r="HA45" s="60">
        <f t="shared" si="52"/>
        <v>283.48738729114024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projet'!$B$18,Paramètres!$A$1:$I$89,3,0)*0.475*44/12</f>
        <v>0</v>
      </c>
      <c r="HH45" s="23">
        <f>EXP(-LN(2)/25)*HH44+(1-EXP(-LN(2)/25))/(LN(2)/25)*Calculateur!HC45*Calculateur!HE45*VLOOKUP('Données projet'!$B$18,Paramètres!$A$1:$I$89,3,0)*0.475*44/12</f>
        <v>0</v>
      </c>
      <c r="HI45" s="23">
        <f>EXP(-LN(2)/2)*HI44+(1-EXP(-LN(2)/2))/(LN(2)/2)*HC45*HF45*VLOOKUP('Données projet'!$B$18,Paramètres!$A$1:$I$89,3,0)*0.475*44/12</f>
        <v>0</v>
      </c>
      <c r="HJ45" s="24">
        <f t="shared" si="30"/>
        <v>0</v>
      </c>
    </row>
    <row r="46" spans="1:218" s="5" customFormat="1" x14ac:dyDescent="0.3">
      <c r="A46" s="11">
        <f t="shared" si="31"/>
        <v>43</v>
      </c>
      <c r="B46" s="75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8">
        <f t="shared" si="1"/>
        <v>256.66666666666669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162.20000000000005</v>
      </c>
      <c r="O46" s="14">
        <f>N46*VLOOKUP('Données projet'!$B$9,Paramètres!$A$1:$I$89,3,0)*VLOOKUP('Données projet'!$B$9,Paramètres!$A$1:$I$89,5,0)</f>
        <v>156.87984000000003</v>
      </c>
      <c r="P46" s="14">
        <f t="shared" si="33"/>
        <v>40.137950013229407</v>
      </c>
      <c r="Q46" s="22">
        <f t="shared" si="53"/>
        <v>343.13931760637462</v>
      </c>
      <c r="R46" s="60">
        <f t="shared" si="0"/>
        <v>636.47265093970793</v>
      </c>
      <c r="S46" s="60">
        <f ca="1">AVERAGE(OFFSET($R$3,0,0,'Données projet'!$E$9+1,1))-AVERAGE(OFFSET($H$3,0,0,'Données projet'!$E$9+1,1))</f>
        <v>456.86147223520601</v>
      </c>
      <c r="T46" s="60">
        <f t="shared" si="34"/>
        <v>244.45149244446094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2.5</v>
      </c>
      <c r="AI46" s="14">
        <f>IF('Données projet'!$A$62&gt;35,AI45+AH46-AQ45,IF(A46&lt;'Données projet'!$A$62,$AF$205^A46,IF(A46='Données projet'!$A$62,'Données projet'!$B$62,AI45+AH46-AQ45)))</f>
        <v>120.50000000000003</v>
      </c>
      <c r="AJ46" s="14">
        <f>AI46*VLOOKUP('Données projet'!$B$10,Paramètres!$A$1:$I$89,3,0)*VLOOKUP('Données projet'!$B$10,Paramètres!$A$1:$I$89,5,0)</f>
        <v>78.951600000000013</v>
      </c>
      <c r="AK46" s="14">
        <f t="shared" si="35"/>
        <v>21.880648405433348</v>
      </c>
      <c r="AL46" s="22">
        <f t="shared" si="4"/>
        <v>175.61616597279644</v>
      </c>
      <c r="AM46" s="60">
        <f t="shared" si="5"/>
        <v>468.94949930612972</v>
      </c>
      <c r="AN46" s="60">
        <f ca="1">AVERAGE(OFFSET($AM$3,0,0,'Données projet'!$E$10+1,1))-AVERAGE(OFFSET($H$3,0,0,'Données projet'!$E$10+1,1))</f>
        <v>170.79567854714986</v>
      </c>
      <c r="AO46" s="60">
        <f t="shared" si="36"/>
        <v>155.92788004111191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7.6</v>
      </c>
      <c r="BD46" s="13">
        <f>IF('Données projet'!$A$88&gt;35,BD45+BC46-BL45,IF(A46&lt;'Données projet'!$A$88,$BA$205^A46,IF(A46='Données projet'!$A$88,'Données projet'!$B$88,BD45+BC46-BL45)))</f>
        <v>174.8</v>
      </c>
      <c r="BE46" s="14">
        <f>BD46*VLOOKUP('Données projet'!$B$11,Paramètres!$A$1:$I$89,3,0)*VLOOKUP('Données projet'!$B$11,Paramètres!$A$1:$I$89,5,0)</f>
        <v>141.79776000000004</v>
      </c>
      <c r="BF46" s="14">
        <f t="shared" si="37"/>
        <v>36.708540735279854</v>
      </c>
      <c r="BG46" s="22">
        <f t="shared" si="7"/>
        <v>310.89847378061245</v>
      </c>
      <c r="BH46" s="60">
        <f t="shared" si="8"/>
        <v>604.23180711394571</v>
      </c>
      <c r="BI46" s="60">
        <f ca="1">AVERAGE(OFFSET($BH$3,0,0,'Données projet'!$E$11+1,1))-AVERAGE(OFFSET($H$3,0,0,'Données projet'!$E$11+1,1))</f>
        <v>256.19915261735281</v>
      </c>
      <c r="BJ46" s="60">
        <f t="shared" si="38"/>
        <v>297.47246687305056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5.6410256410256405</v>
      </c>
      <c r="BY46" s="13">
        <f>IF('Données projet'!$A$114&gt;35,BY45+BX46-CG45,IF(A46&lt;'Données projet'!$A$114,$BV$205^A46,IF(A46='Données projet'!$A$114,'Données projet'!$B$114,BY45+BX46-CG45)))</f>
        <v>148.97435897435898</v>
      </c>
      <c r="BZ46" s="14">
        <f>BY46*VLOOKUP('Données projet'!$B$12,Paramètres!$A$1:$I$89,3,0)*VLOOKUP('Données projet'!$B$12,Paramètres!$A$1:$I$89,5,0)</f>
        <v>141.76400000000001</v>
      </c>
      <c r="CA46" s="14">
        <f t="shared" si="39"/>
        <v>36.700818164211768</v>
      </c>
      <c r="CB46" s="22">
        <f t="shared" si="10"/>
        <v>310.8262249693355</v>
      </c>
      <c r="CC46" s="60">
        <f t="shared" si="11"/>
        <v>604.15955830266876</v>
      </c>
      <c r="CD46" s="60">
        <f ca="1">AVERAGE(OFFSET($CC$3,0,0,'Données projet'!$E$12+1,1))-AVERAGE(OFFSET($H$3,0,0,'Données projet'!$E$12+1,1))</f>
        <v>353.53401919391234</v>
      </c>
      <c r="CE46" s="60">
        <f t="shared" si="40"/>
        <v>244.7141066773861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8.4</v>
      </c>
      <c r="CT46" s="13">
        <f>IF('Données projet'!$A$140&gt;35,CT45+CS46-DB45,IF(A46&lt;'Données projet'!$A$140,$CQ$205^A46,IF(A46='Données projet'!$A$140,'Données projet'!$B$140,CT45+CS46-DB45)))</f>
        <v>162.20000000000005</v>
      </c>
      <c r="CU46" s="18">
        <f>CT46*VLOOKUP('Données projet'!$B$13,Paramètres!$A$1:$I$89,3,0)*VLOOKUP('Données projet'!$B$13,Paramètres!$A$1:$I$89,5,0)</f>
        <v>136.63728000000006</v>
      </c>
      <c r="CV46" s="14">
        <f t="shared" si="41"/>
        <v>35.525566915250494</v>
      </c>
      <c r="CW46" s="22">
        <f t="shared" si="13"/>
        <v>299.85029171072807</v>
      </c>
      <c r="CX46" s="60">
        <f t="shared" si="14"/>
        <v>593.18362504406139</v>
      </c>
      <c r="CY46" s="60">
        <f ca="1">AVERAGE(OFFSET($CX$3,0,0,'Données projet'!$E$13+1,1))-AVERAGE(OFFSET($H$3,0,0,'Données projet'!$E$13+1,1))</f>
        <v>403.33327536410098</v>
      </c>
      <c r="CZ46" s="60">
        <f t="shared" si="42"/>
        <v>218.26721063098552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8.2000000000000064</v>
      </c>
      <c r="DO46" s="13">
        <f>IF('Données projet'!$A$166&gt;35,DO45+DN46-DW45,IF(A46&lt;'Données projet'!$A$166,$DL$205^A46,IF(A46='Données projet'!$A$166,'Données projet'!$B$166,DO45+DN46-DW45)))</f>
        <v>216.20000000000005</v>
      </c>
      <c r="DP46" s="18">
        <f>DO46*VLOOKUP('Données projet'!$B$14,Paramètres!$A$1:$I$89,3,0)*VLOOKUP('Données projet'!$B$14,Paramètres!$A$1:$I$89,5,0)</f>
        <v>172.00872000000004</v>
      </c>
      <c r="DQ46" s="14">
        <f t="shared" si="43"/>
        <v>43.539602012936207</v>
      </c>
      <c r="DR46" s="22">
        <f t="shared" si="16"/>
        <v>375.41332750586389</v>
      </c>
      <c r="DS46" s="60">
        <f t="shared" si="17"/>
        <v>668.74666083919715</v>
      </c>
      <c r="DT46" s="60">
        <f ca="1">AVERAGE(OFFSET($DS$3,0,0,'Données projet'!$E$14+1,1))-AVERAGE(OFFSET($H$3,0,0,'Données projet'!$E$14+1,1))</f>
        <v>317.13087551964747</v>
      </c>
      <c r="DU46" s="60">
        <f t="shared" si="44"/>
        <v>293.43300041793185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6.5200000000000049</v>
      </c>
      <c r="EJ46" s="13">
        <f>IF('Données projet'!$A$192&gt;35,EJ45+EI46-ER45,IF(A46&lt;'Données projet'!$A$192,$EG$205^A46,IF(A46='Données projet'!$A$192,'Données projet'!$B$192,EJ45+EI46-ER45)))</f>
        <v>172.56000000000012</v>
      </c>
      <c r="EK46" s="18">
        <f>EJ46*VLOOKUP('Données projet'!$B$15,Paramètres!$A$1:$I$89,3,0)*VLOOKUP('Données projet'!$B$15,Paramètres!$A$1:$I$89,5,0)</f>
        <v>137.28873600000009</v>
      </c>
      <c r="EL46" s="14">
        <f t="shared" si="45"/>
        <v>35.675187825036161</v>
      </c>
      <c r="EM46" s="22">
        <f t="shared" si="19"/>
        <v>301.24550066193814</v>
      </c>
      <c r="EN46" s="60">
        <f t="shared" si="20"/>
        <v>594.57883399527145</v>
      </c>
      <c r="EO46" s="60">
        <f ca="1">AVERAGE(OFFSET($EN$3,0,0,'Données projet'!$E$15+1,1))-AVERAGE(OFFSET($H$3,0,0,'Données projet'!$E$15+1,1))</f>
        <v>253.03289960511904</v>
      </c>
      <c r="EP46" s="60">
        <f t="shared" si="46"/>
        <v>236.85088713056018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6.5200000000000049</v>
      </c>
      <c r="FE46" s="13">
        <f>IF('Données projet'!$A$218&gt;35,FE45+FD46-FM45,IF(A46&lt;'Données projet'!$A$218,$FB$205^A46,IF(A46='Données projet'!$A$218,'Données projet'!$B$218,FE45+FD46-FM45)))</f>
        <v>172.56000000000012</v>
      </c>
      <c r="FF46" s="18">
        <f>FE46*VLOOKUP('Données projet'!$B$16,Paramètres!$A$1:$I$89,3,0)*VLOOKUP('Données projet'!$B$16,Paramètres!$A$1:$I$89,5,0)</f>
        <v>150.74841600000011</v>
      </c>
      <c r="FG46" s="14">
        <f t="shared" si="47"/>
        <v>38.748616545088822</v>
      </c>
      <c r="FH46" s="22">
        <f t="shared" si="22"/>
        <v>330.04066501602989</v>
      </c>
      <c r="FI46" s="60">
        <f t="shared" si="23"/>
        <v>623.37399834936321</v>
      </c>
      <c r="FJ46" s="60">
        <f ca="1">AVERAGE(OFFSET($FI$3,0,0,'Données projet'!$E$16+1,1))-AVERAGE(OFFSET($H$3,0,0,'Données projet'!$E$16+1,1))</f>
        <v>274.38315511766132</v>
      </c>
      <c r="FK46" s="60">
        <f t="shared" si="48"/>
        <v>255.96663040027175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15.666666666666666</v>
      </c>
      <c r="FZ46" s="13">
        <f>IF('Données projet'!$A$244&gt;35,FZ45+FY46-GH45,IF(A46&lt;'Données projet'!$A$244,$FW$205^A46,IF(A46='Données projet'!$A$244,'Données projet'!$B$244,FZ45+FY46-GH45)))</f>
        <v>161.66666666666657</v>
      </c>
      <c r="GA46" s="18">
        <f>FZ46*VLOOKUP('Données projet'!$B$17,Paramètres!$A$1:$I$89,3,0)*VLOOKUP('Données projet'!$B$17,Paramètres!$A$1:$I$89,5,0)</f>
        <v>138.70999999999995</v>
      </c>
      <c r="GB46" s="14">
        <f t="shared" si="49"/>
        <v>36.00132558429457</v>
      </c>
      <c r="GC46" s="22">
        <f t="shared" si="25"/>
        <v>304.2888920593129</v>
      </c>
      <c r="GD46" s="60">
        <f t="shared" si="26"/>
        <v>597.62222539264621</v>
      </c>
      <c r="GE46" s="60">
        <f ca="1">AVERAGE(OFFSET($GD$3,0,0,'Données projet'!$E$17+1,1))-AVERAGE(OFFSET($H$3,0,0,'Données projet'!$E$17+1,1))</f>
        <v>445.81166342116865</v>
      </c>
      <c r="GF46" s="60">
        <f t="shared" si="50"/>
        <v>230.82970731138215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11.142857142857142</v>
      </c>
      <c r="GU46" s="13">
        <f>IF('Données projet'!$A$270&gt;35,GU45+GT46-HC45,IF(A46&lt;'Données projet'!$A$270,$GR$205^A46,IF(A46='Données projet'!$A$270,'Données projet'!$B$270,GU45+GT46-HC45)))</f>
        <v>218.85714285714278</v>
      </c>
      <c r="GV46" s="18">
        <f>GU46*VLOOKUP('Données projet'!$B$18,Paramètres!$A$1:$I$89,3,0)*VLOOKUP('Données projet'!$B$18,Paramètres!$A$1:$I$89,5,0)</f>
        <v>170.70857142857136</v>
      </c>
      <c r="GW46" s="14">
        <f t="shared" si="51"/>
        <v>43.248681576985376</v>
      </c>
      <c r="GX46" s="22">
        <f t="shared" si="28"/>
        <v>372.64221565134466</v>
      </c>
      <c r="GY46" s="60">
        <f t="shared" si="29"/>
        <v>665.97554898467797</v>
      </c>
      <c r="GZ46" s="60">
        <f ca="1">AVERAGE(OFFSET($GY$3,0,0,'Données projet'!$E$18+1,1))-AVERAGE(OFFSET($H$3,0,0,'Données projet'!$E$18+1,1))</f>
        <v>289.19475369871481</v>
      </c>
      <c r="HA46" s="60">
        <f t="shared" si="52"/>
        <v>283.48738729114024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projet'!$B$18,Paramètres!$A$1:$I$89,3,0)*0.475*44/12</f>
        <v>0</v>
      </c>
      <c r="HH46" s="23">
        <f>EXP(-LN(2)/25)*HH45+(1-EXP(-LN(2)/25))/(LN(2)/25)*Calculateur!HC46*Calculateur!HE46*VLOOKUP('Données projet'!$B$18,Paramètres!$A$1:$I$89,3,0)*0.475*44/12</f>
        <v>0</v>
      </c>
      <c r="HI46" s="23">
        <f>EXP(-LN(2)/2)*HI45+(1-EXP(-LN(2)/2))/(LN(2)/2)*HC46*HF46*VLOOKUP('Données projet'!$B$18,Paramètres!$A$1:$I$89,3,0)*0.475*44/12</f>
        <v>0</v>
      </c>
      <c r="HJ46" s="24">
        <f t="shared" si="30"/>
        <v>0</v>
      </c>
    </row>
    <row r="47" spans="1:218" s="5" customFormat="1" x14ac:dyDescent="0.3">
      <c r="A47" s="11">
        <f t="shared" si="31"/>
        <v>44</v>
      </c>
      <c r="B47" s="75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8">
        <f t="shared" si="1"/>
        <v>256.66666666666669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170.60000000000005</v>
      </c>
      <c r="O47" s="14">
        <f>N47*VLOOKUP('Données projet'!$B$9,Paramètres!$A$1:$I$89,3,0)*VLOOKUP('Données projet'!$B$9,Paramètres!$A$1:$I$89,5,0)</f>
        <v>165.00432000000006</v>
      </c>
      <c r="P47" s="14">
        <f t="shared" si="33"/>
        <v>41.969222611359086</v>
      </c>
      <c r="Q47" s="22">
        <f t="shared" si="53"/>
        <v>360.47892004811712</v>
      </c>
      <c r="R47" s="60">
        <f t="shared" si="0"/>
        <v>653.81225338145043</v>
      </c>
      <c r="S47" s="60">
        <f ca="1">AVERAGE(OFFSET($R$3,0,0,'Données projet'!$E$9+1,1))-AVERAGE(OFFSET($H$3,0,0,'Données projet'!$E$9+1,1))</f>
        <v>456.86147223520601</v>
      </c>
      <c r="T47" s="60">
        <f t="shared" si="34"/>
        <v>244.45149244446094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2.5</v>
      </c>
      <c r="AI47" s="14">
        <f>IF('Données projet'!$A$62&gt;35,AI46+AH47-AQ46,IF(A47&lt;'Données projet'!$A$62,$AF$205^A47,IF(A47='Données projet'!$A$62,'Données projet'!$B$62,AI46+AH47-AQ46)))</f>
        <v>123.00000000000003</v>
      </c>
      <c r="AJ47" s="14">
        <f>AI47*VLOOKUP('Données projet'!$B$10,Paramètres!$A$1:$I$89,3,0)*VLOOKUP('Données projet'!$B$10,Paramètres!$A$1:$I$89,5,0)</f>
        <v>80.589600000000019</v>
      </c>
      <c r="AK47" s="14">
        <f t="shared" si="35"/>
        <v>22.281282727508763</v>
      </c>
      <c r="AL47" s="22">
        <f t="shared" si="4"/>
        <v>179.16678741707778</v>
      </c>
      <c r="AM47" s="60">
        <f t="shared" si="5"/>
        <v>472.5001207504111</v>
      </c>
      <c r="AN47" s="60">
        <f ca="1">AVERAGE(OFFSET($AM$3,0,0,'Données projet'!$E$10+1,1))-AVERAGE(OFFSET($H$3,0,0,'Données projet'!$E$10+1,1))</f>
        <v>170.79567854714986</v>
      </c>
      <c r="AO47" s="60">
        <f t="shared" si="36"/>
        <v>155.92788004111191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7.6</v>
      </c>
      <c r="BD47" s="13">
        <f>IF('Données projet'!$A$88&gt;35,BD46+BC47-BL46,IF(A47&lt;'Données projet'!$A$88,$BA$205^A47,IF(A47='Données projet'!$A$88,'Données projet'!$B$88,BD46+BC47-BL46)))</f>
        <v>182.4</v>
      </c>
      <c r="BE47" s="14">
        <f>BD47*VLOOKUP('Données projet'!$B$11,Paramètres!$A$1:$I$89,3,0)*VLOOKUP('Données projet'!$B$11,Paramètres!$A$1:$I$89,5,0)</f>
        <v>147.96288000000001</v>
      </c>
      <c r="BF47" s="14">
        <f t="shared" si="37"/>
        <v>38.115275017059226</v>
      </c>
      <c r="BG47" s="22">
        <f t="shared" si="7"/>
        <v>324.0861199880448</v>
      </c>
      <c r="BH47" s="60">
        <f t="shared" si="8"/>
        <v>617.41945332137811</v>
      </c>
      <c r="BI47" s="60">
        <f ca="1">AVERAGE(OFFSET($BH$3,0,0,'Données projet'!$E$11+1,1))-AVERAGE(OFFSET($H$3,0,0,'Données projet'!$E$11+1,1))</f>
        <v>256.19915261735281</v>
      </c>
      <c r="BJ47" s="60">
        <f t="shared" si="38"/>
        <v>297.47246687305056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5.6410256410256405</v>
      </c>
      <c r="BY47" s="13">
        <f>IF('Données projet'!$A$114&gt;35,BY46+BX47-CG46,IF(A47&lt;'Données projet'!$A$114,$BV$205^A47,IF(A47='Données projet'!$A$114,'Données projet'!$B$114,BY46+BX47-CG46)))</f>
        <v>154.61538461538461</v>
      </c>
      <c r="BZ47" s="14">
        <f>BY47*VLOOKUP('Données projet'!$B$12,Paramètres!$A$1:$I$89,3,0)*VLOOKUP('Données projet'!$B$12,Paramètres!$A$1:$I$89,5,0)</f>
        <v>147.13200000000001</v>
      </c>
      <c r="CA47" s="14">
        <f t="shared" si="39"/>
        <v>37.926091844382093</v>
      </c>
      <c r="CB47" s="22">
        <f t="shared" si="10"/>
        <v>322.30950996229876</v>
      </c>
      <c r="CC47" s="60">
        <f t="shared" si="11"/>
        <v>615.64284329563202</v>
      </c>
      <c r="CD47" s="60">
        <f ca="1">AVERAGE(OFFSET($CC$3,0,0,'Données projet'!$E$12+1,1))-AVERAGE(OFFSET($H$3,0,0,'Données projet'!$E$12+1,1))</f>
        <v>353.53401919391234</v>
      </c>
      <c r="CE47" s="60">
        <f t="shared" si="40"/>
        <v>244.7141066773861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8.4</v>
      </c>
      <c r="CT47" s="13">
        <f>IF('Données projet'!$A$140&gt;35,CT46+CS47-DB46,IF(A47&lt;'Données projet'!$A$140,$CQ$205^A47,IF(A47='Données projet'!$A$140,'Données projet'!$B$140,CT46+CS47-DB46)))</f>
        <v>170.60000000000005</v>
      </c>
      <c r="CU47" s="18">
        <f>CT47*VLOOKUP('Données projet'!$B$13,Paramètres!$A$1:$I$89,3,0)*VLOOKUP('Données projet'!$B$13,Paramètres!$A$1:$I$89,5,0)</f>
        <v>143.71344000000008</v>
      </c>
      <c r="CV47" s="14">
        <f t="shared" si="41"/>
        <v>37.146401990372148</v>
      </c>
      <c r="CW47" s="22">
        <f t="shared" si="13"/>
        <v>314.99755813323162</v>
      </c>
      <c r="CX47" s="60">
        <f t="shared" si="14"/>
        <v>608.33089146656494</v>
      </c>
      <c r="CY47" s="60">
        <f ca="1">AVERAGE(OFFSET($CX$3,0,0,'Données projet'!$E$13+1,1))-AVERAGE(OFFSET($H$3,0,0,'Données projet'!$E$13+1,1))</f>
        <v>403.33327536410098</v>
      </c>
      <c r="CZ47" s="60">
        <f t="shared" si="42"/>
        <v>218.26721063098552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8.2000000000000064</v>
      </c>
      <c r="DO47" s="13">
        <f>IF('Données projet'!$A$166&gt;35,DO46+DN47-DW46,IF(A47&lt;'Données projet'!$A$166,$DL$205^A47,IF(A47='Données projet'!$A$166,'Données projet'!$B$166,DO46+DN47-DW46)))</f>
        <v>224.40000000000006</v>
      </c>
      <c r="DP47" s="18">
        <f>DO47*VLOOKUP('Données projet'!$B$14,Paramètres!$A$1:$I$89,3,0)*VLOOKUP('Données projet'!$B$14,Paramètres!$A$1:$I$89,5,0)</f>
        <v>178.53264000000004</v>
      </c>
      <c r="DQ47" s="14">
        <f t="shared" si="43"/>
        <v>44.995570241117683</v>
      </c>
      <c r="DR47" s="22">
        <f t="shared" si="16"/>
        <v>389.3116328366134</v>
      </c>
      <c r="DS47" s="60">
        <f t="shared" si="17"/>
        <v>682.64496616994666</v>
      </c>
      <c r="DT47" s="60">
        <f ca="1">AVERAGE(OFFSET($DS$3,0,0,'Données projet'!$E$14+1,1))-AVERAGE(OFFSET($H$3,0,0,'Données projet'!$E$14+1,1))</f>
        <v>317.13087551964747</v>
      </c>
      <c r="DU47" s="60">
        <f t="shared" si="44"/>
        <v>293.43300041793185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6.5200000000000049</v>
      </c>
      <c r="EJ47" s="13">
        <f>IF('Données projet'!$A$192&gt;35,EJ46+EI47-ER46,IF(A47&lt;'Données projet'!$A$192,$EG$205^A47,IF(A47='Données projet'!$A$192,'Données projet'!$B$192,EJ46+EI47-ER46)))</f>
        <v>179.08000000000013</v>
      </c>
      <c r="EK47" s="18">
        <f>EJ47*VLOOKUP('Données projet'!$B$15,Paramètres!$A$1:$I$89,3,0)*VLOOKUP('Données projet'!$B$15,Paramètres!$A$1:$I$89,5,0)</f>
        <v>142.47604800000011</v>
      </c>
      <c r="EL47" s="14">
        <f t="shared" si="45"/>
        <v>36.863653265390013</v>
      </c>
      <c r="EM47" s="22">
        <f t="shared" si="19"/>
        <v>312.34997970388781</v>
      </c>
      <c r="EN47" s="60">
        <f t="shared" si="20"/>
        <v>605.68331303722107</v>
      </c>
      <c r="EO47" s="60">
        <f ca="1">AVERAGE(OFFSET($EN$3,0,0,'Données projet'!$E$15+1,1))-AVERAGE(OFFSET($H$3,0,0,'Données projet'!$E$15+1,1))</f>
        <v>253.03289960511904</v>
      </c>
      <c r="EP47" s="60">
        <f t="shared" si="46"/>
        <v>236.85088713056018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6.5200000000000049</v>
      </c>
      <c r="FE47" s="13">
        <f>IF('Données projet'!$A$218&gt;35,FE46+FD47-FM46,IF(A47&lt;'Données projet'!$A$218,$FB$205^A47,IF(A47='Données projet'!$A$218,'Données projet'!$B$218,FE46+FD47-FM46)))</f>
        <v>179.08000000000013</v>
      </c>
      <c r="FF47" s="18">
        <f>FE47*VLOOKUP('Données projet'!$B$16,Paramètres!$A$1:$I$89,3,0)*VLOOKUP('Données projet'!$B$16,Paramètres!$A$1:$I$89,5,0)</f>
        <v>156.44428800000011</v>
      </c>
      <c r="FG47" s="14">
        <f t="shared" si="47"/>
        <v>40.039468659202818</v>
      </c>
      <c r="FH47" s="22">
        <f t="shared" si="22"/>
        <v>342.20920951477842</v>
      </c>
      <c r="FI47" s="60">
        <f t="shared" si="23"/>
        <v>635.54254284811168</v>
      </c>
      <c r="FJ47" s="60">
        <f ca="1">AVERAGE(OFFSET($FI$3,0,0,'Données projet'!$E$16+1,1))-AVERAGE(OFFSET($H$3,0,0,'Données projet'!$E$16+1,1))</f>
        <v>274.38315511766132</v>
      </c>
      <c r="FK47" s="60">
        <f t="shared" si="48"/>
        <v>255.96663040027175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15.666666666666666</v>
      </c>
      <c r="FZ47" s="13">
        <f>IF('Données projet'!$A$244&gt;35,FZ46+FY47-GH46,IF(A47&lt;'Données projet'!$A$244,$FW$205^A47,IF(A47='Données projet'!$A$244,'Données projet'!$B$244,FZ46+FY47-GH46)))</f>
        <v>177.33333333333323</v>
      </c>
      <c r="GA47" s="18">
        <f>FZ47*VLOOKUP('Données projet'!$B$17,Paramètres!$A$1:$I$89,3,0)*VLOOKUP('Données projet'!$B$17,Paramètres!$A$1:$I$89,5,0)</f>
        <v>152.15199999999993</v>
      </c>
      <c r="GB47" s="14">
        <f t="shared" si="49"/>
        <v>39.067229161930634</v>
      </c>
      <c r="GC47" s="22">
        <f t="shared" si="25"/>
        <v>333.04015745702907</v>
      </c>
      <c r="GD47" s="60">
        <f t="shared" si="26"/>
        <v>626.37349079036244</v>
      </c>
      <c r="GE47" s="60">
        <f ca="1">AVERAGE(OFFSET($GD$3,0,0,'Données projet'!$E$17+1,1))-AVERAGE(OFFSET($H$3,0,0,'Données projet'!$E$17+1,1))</f>
        <v>445.81166342116865</v>
      </c>
      <c r="GF47" s="60">
        <f t="shared" si="50"/>
        <v>230.82970731138215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>
        <f>VLOOKUP(A47,'Données projet'!$A$269:$I$289,2,0)</f>
        <v>230</v>
      </c>
      <c r="GS47" s="13">
        <f>VLOOKUP(A47,'Données projet'!$A$269:$I$289,9,0)</f>
        <v>11.142857142857142</v>
      </c>
      <c r="GT47" s="13">
        <f t="array" ref="GT47">INDEX(GS:GS,MIN(IF(ISNUMBER(GS47:GS243),ROW(GS47:GS243),"")))</f>
        <v>11.142857142857142</v>
      </c>
      <c r="GU47" s="13">
        <f>IF('Données projet'!$A$270&gt;35,GU46+GT47-HC46,IF(A47&lt;'Données projet'!$A$270,$GR$205^A47,IF(A47='Données projet'!$A$270,'Données projet'!$B$270,GU46+GT47-HC46)))</f>
        <v>229.99999999999991</v>
      </c>
      <c r="GV47" s="18">
        <f>GU47*VLOOKUP('Données projet'!$B$18,Paramètres!$A$1:$I$89,3,0)*VLOOKUP('Données projet'!$B$18,Paramètres!$A$1:$I$89,5,0)</f>
        <v>179.39999999999995</v>
      </c>
      <c r="GW47" s="14">
        <f t="shared" si="51"/>
        <v>45.188671291872232</v>
      </c>
      <c r="GX47" s="22">
        <f t="shared" si="28"/>
        <v>391.15860250001066</v>
      </c>
      <c r="GY47" s="60">
        <f t="shared" si="29"/>
        <v>684.49193583334397</v>
      </c>
      <c r="GZ47" s="60">
        <f ca="1">AVERAGE(OFFSET($GY$3,0,0,'Données projet'!$E$18+1,1))-AVERAGE(OFFSET($H$3,0,0,'Données projet'!$E$18+1,1))</f>
        <v>289.19475369871481</v>
      </c>
      <c r="HA47" s="60">
        <f t="shared" si="52"/>
        <v>283.48738729114024</v>
      </c>
      <c r="HB47" s="16">
        <f>IF(ISNA(VLOOKUP(A47,'Données projet'!$A$269:$I$289,3,0)),0,VLOOKUP(A47,'Données projet'!$A$269:$I$289,3,0))</f>
        <v>5</v>
      </c>
      <c r="HC47" s="16">
        <f>IF(ISNA(VLOOKUP(A47,'Données projet'!$A$269:$I$289,4,0)),0,VLOOKUP(A47,'Données projet'!$A$269:$I$289,4,0))</f>
        <v>43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projet'!$B$18,Paramètres!$A$1:$I$89,3,0)*0.475*44/12</f>
        <v>0</v>
      </c>
      <c r="HH47" s="23">
        <f>EXP(-LN(2)/25)*HH46+(1-EXP(-LN(2)/25))/(LN(2)/25)*Calculateur!HC47*Calculateur!HE47*VLOOKUP('Données projet'!$B$18,Paramètres!$A$1:$I$89,3,0)*0.475*44/12</f>
        <v>0</v>
      </c>
      <c r="HI47" s="23">
        <f>EXP(-LN(2)/2)*HI46+(1-EXP(-LN(2)/2))/(LN(2)/2)*HC47*HF47*VLOOKUP('Données projet'!$B$18,Paramètres!$A$1:$I$89,3,0)*0.475*44/12</f>
        <v>0</v>
      </c>
      <c r="HJ47" s="24">
        <f t="shared" si="30"/>
        <v>0</v>
      </c>
    </row>
    <row r="48" spans="1:218" s="5" customFormat="1" x14ac:dyDescent="0.3">
      <c r="A48" s="11">
        <f t="shared" si="31"/>
        <v>45</v>
      </c>
      <c r="B48" s="75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8">
        <f t="shared" si="1"/>
        <v>256.66666666666669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179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179.00000000000006</v>
      </c>
      <c r="O48" s="14">
        <f>N48*VLOOKUP('Données projet'!$B$9,Paramètres!$A$1:$I$89,3,0)*VLOOKUP('Données projet'!$B$9,Paramètres!$A$1:$I$89,5,0)</f>
        <v>173.12880000000007</v>
      </c>
      <c r="P48" s="14">
        <f t="shared" si="33"/>
        <v>43.790025187181634</v>
      </c>
      <c r="Q48" s="22">
        <f t="shared" si="53"/>
        <v>377.80028720100813</v>
      </c>
      <c r="R48" s="60">
        <f t="shared" si="0"/>
        <v>671.13362053434139</v>
      </c>
      <c r="S48" s="60">
        <f ca="1">AVERAGE(OFFSET($R$3,0,0,'Données projet'!$E$9+1,1))-AVERAGE(OFFSET($H$3,0,0,'Données projet'!$E$9+1,1))</f>
        <v>456.86147223520601</v>
      </c>
      <c r="T48" s="60">
        <f t="shared" si="34"/>
        <v>244.45149244446094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42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2.5</v>
      </c>
      <c r="AI48" s="14">
        <f>IF('Données projet'!$A$62&gt;35,AI47+AH48-AQ47,IF(A48&lt;'Données projet'!$A$62,$AF$205^A48,IF(A48='Données projet'!$A$62,'Données projet'!$B$62,AI47+AH48-AQ47)))</f>
        <v>125.50000000000003</v>
      </c>
      <c r="AJ48" s="14">
        <f>AI48*VLOOKUP('Données projet'!$B$10,Paramètres!$A$1:$I$89,3,0)*VLOOKUP('Données projet'!$B$10,Paramètres!$A$1:$I$89,5,0)</f>
        <v>82.22760000000001</v>
      </c>
      <c r="AK48" s="14">
        <f t="shared" si="35"/>
        <v>22.68097025884375</v>
      </c>
      <c r="AL48" s="22">
        <f t="shared" si="4"/>
        <v>182.71575986748618</v>
      </c>
      <c r="AM48" s="60">
        <f t="shared" si="5"/>
        <v>476.04909320081947</v>
      </c>
      <c r="AN48" s="60">
        <f ca="1">AVERAGE(OFFSET($AM$3,0,0,'Données projet'!$E$10+1,1))-AVERAGE(OFFSET($H$3,0,0,'Données projet'!$E$10+1,1))</f>
        <v>170.79567854714986</v>
      </c>
      <c r="AO48" s="60">
        <f t="shared" si="36"/>
        <v>155.92788004111191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190</v>
      </c>
      <c r="BB48" s="13">
        <f>VLOOKUP(A48,'Données projet'!$A$87:$I$107,9,0)</f>
        <v>7.6</v>
      </c>
      <c r="BC48" s="13">
        <f t="array" ref="BC48">INDEX(BB:BB,MIN(IF(ISNUMBER(BB48:BB244),ROW(BB48:BB244),"")))</f>
        <v>7.6</v>
      </c>
      <c r="BD48" s="13">
        <f>IF('Données projet'!$A$88&gt;35,BD47+BC48-BL47,IF(A48&lt;'Données projet'!$A$88,$BA$205^A48,IF(A48='Données projet'!$A$88,'Données projet'!$B$88,BD47+BC48-BL47)))</f>
        <v>190</v>
      </c>
      <c r="BE48" s="14">
        <f>BD48*VLOOKUP('Données projet'!$B$11,Paramètres!$A$1:$I$89,3,0)*VLOOKUP('Données projet'!$B$11,Paramètres!$A$1:$I$89,5,0)</f>
        <v>154.12800000000001</v>
      </c>
      <c r="BF48" s="14">
        <f t="shared" si="37"/>
        <v>39.515201075361155</v>
      </c>
      <c r="BG48" s="22">
        <f t="shared" si="7"/>
        <v>337.26190853958735</v>
      </c>
      <c r="BH48" s="60">
        <f t="shared" si="8"/>
        <v>630.59524187292072</v>
      </c>
      <c r="BI48" s="60">
        <f ca="1">AVERAGE(OFFSET($BH$3,0,0,'Données projet'!$E$11+1,1))-AVERAGE(OFFSET($H$3,0,0,'Données projet'!$E$11+1,1))</f>
        <v>256.19915261735281</v>
      </c>
      <c r="BJ48" s="60">
        <f t="shared" si="38"/>
        <v>297.47246687305056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160.25641025641025</v>
      </c>
      <c r="BW48" s="13">
        <f>VLOOKUP(A48,'Données projet'!$A$113:$I$133,9,0)</f>
        <v>5.6410256410256405</v>
      </c>
      <c r="BX48" s="13">
        <f t="array" ref="BX48">INDEX(BW:BW,MIN(IF(ISNUMBER(BW48:BW244),ROW(BW48:BW244),"")))</f>
        <v>5.6410256410256405</v>
      </c>
      <c r="BY48" s="13">
        <f>IF('Données projet'!$A$114&gt;35,BY47+BX48-CG47,IF(A48&lt;'Données projet'!$A$114,$BV$205^A48,IF(A48='Données projet'!$A$114,'Données projet'!$B$114,BY47+BX48-CG47)))</f>
        <v>160.25641025641025</v>
      </c>
      <c r="BZ48" s="14">
        <f>BY48*VLOOKUP('Données projet'!$B$12,Paramètres!$A$1:$I$89,3,0)*VLOOKUP('Données projet'!$B$12,Paramètres!$A$1:$I$89,5,0)</f>
        <v>152.5</v>
      </c>
      <c r="CA48" s="14">
        <f t="shared" si="39"/>
        <v>39.146171889962673</v>
      </c>
      <c r="CB48" s="22">
        <f t="shared" si="10"/>
        <v>333.78374937501832</v>
      </c>
      <c r="CC48" s="60">
        <f t="shared" si="11"/>
        <v>627.11708270835163</v>
      </c>
      <c r="CD48" s="60">
        <f ca="1">AVERAGE(OFFSET($CC$3,0,0,'Données projet'!$E$12+1,1))-AVERAGE(OFFSET($H$3,0,0,'Données projet'!$E$12+1,1))</f>
        <v>353.53401919391234</v>
      </c>
      <c r="CE48" s="60">
        <f t="shared" si="40"/>
        <v>244.7141066773861</v>
      </c>
      <c r="CF48" s="16">
        <f>IF(ISNA(VLOOKUP(A48,'Données projet'!$A$113:$I$133,3,0)),0,VLOOKUP(A48,'Données projet'!$A$113:$I$133,3,0))</f>
        <v>3</v>
      </c>
      <c r="CG48" s="16">
        <f>IF(ISNA(VLOOKUP(A48,'Données projet'!$A$113:$I$133,4,0)),0,VLOOKUP(A48,'Données projet'!$A$113:$I$133,4,0))</f>
        <v>28.205128205128204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179</v>
      </c>
      <c r="CR48" s="13">
        <f>VLOOKUP(A48,'Données projet'!$A$139:$I$159,9,0)</f>
        <v>8.4</v>
      </c>
      <c r="CS48" s="13">
        <f t="array" ref="CS48">INDEX(CR:CR,MIN(IF(ISNUMBER(CR48:CR244),ROW(CR48:CR244),"")))</f>
        <v>8.4</v>
      </c>
      <c r="CT48" s="13">
        <f>IF('Données projet'!$A$140&gt;35,CT47+CS48-DB47,IF(A48&lt;'Données projet'!$A$140,$CQ$205^A48,IF(A48='Données projet'!$A$140,'Données projet'!$B$140,CT47+CS48-DB47)))</f>
        <v>179.00000000000006</v>
      </c>
      <c r="CU48" s="18">
        <f>CT48*VLOOKUP('Données projet'!$B$13,Paramètres!$A$1:$I$89,3,0)*VLOOKUP('Données projet'!$B$13,Paramètres!$A$1:$I$89,5,0)</f>
        <v>150.78960000000006</v>
      </c>
      <c r="CV48" s="14">
        <f t="shared" si="41"/>
        <v>38.757970187689722</v>
      </c>
      <c r="CW48" s="22">
        <f t="shared" si="13"/>
        <v>330.12868474355969</v>
      </c>
      <c r="CX48" s="60">
        <f t="shared" si="14"/>
        <v>623.46201807689295</v>
      </c>
      <c r="CY48" s="60">
        <f ca="1">AVERAGE(OFFSET($CX$3,0,0,'Données projet'!$E$13+1,1))-AVERAGE(OFFSET($H$3,0,0,'Données projet'!$E$13+1,1))</f>
        <v>403.33327536410098</v>
      </c>
      <c r="CZ48" s="60">
        <f t="shared" si="42"/>
        <v>218.26721063098552</v>
      </c>
      <c r="DA48" s="16">
        <f>IF(ISNA(VLOOKUP(A48,'Données projet'!$A$139:$I$159,3,0)),0,VLOOKUP(A48,'Données projet'!$A$139:$I$159,3,0))</f>
        <v>3</v>
      </c>
      <c r="DB48" s="16">
        <f>IF(ISNA(VLOOKUP(A48,'Données projet'!$A$139:$I$159,4,0)),0,VLOOKUP(A48,'Données projet'!$A$139:$I$159,4,0))</f>
        <v>42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232.60000000000002</v>
      </c>
      <c r="DM48" s="13">
        <f>VLOOKUP(A48,'Données projet'!$A$165:$I$185,9,0)</f>
        <v>8.2000000000000064</v>
      </c>
      <c r="DN48" s="13">
        <f t="array" ref="DN48">INDEX(DM:DM,MIN(IF(ISNUMBER(DM48:DM244),ROW(DM48:DM244),"")))</f>
        <v>8.2000000000000064</v>
      </c>
      <c r="DO48" s="13">
        <f>IF('Données projet'!$A$166&gt;35,DO47+DN48-DW47,IF(A48&lt;'Données projet'!$A$166,$DL$205^A48,IF(A48='Données projet'!$A$166,'Données projet'!$B$166,DO47+DN48-DW47)))</f>
        <v>232.60000000000008</v>
      </c>
      <c r="DP48" s="18">
        <f>DO48*VLOOKUP('Données projet'!$B$14,Paramètres!$A$1:$I$89,3,0)*VLOOKUP('Données projet'!$B$14,Paramètres!$A$1:$I$89,5,0)</f>
        <v>185.05656000000008</v>
      </c>
      <c r="DQ48" s="14">
        <f t="shared" si="43"/>
        <v>46.44535724247271</v>
      </c>
      <c r="DR48" s="22">
        <f t="shared" si="16"/>
        <v>403.19917253064006</v>
      </c>
      <c r="DS48" s="60">
        <f t="shared" si="17"/>
        <v>696.53250586397337</v>
      </c>
      <c r="DT48" s="60">
        <f ca="1">AVERAGE(OFFSET($DS$3,0,0,'Données projet'!$E$14+1,1))-AVERAGE(OFFSET($H$3,0,0,'Données projet'!$E$14+1,1))</f>
        <v>317.13087551964747</v>
      </c>
      <c r="DU48" s="60">
        <f t="shared" si="44"/>
        <v>293.43300041793185</v>
      </c>
      <c r="DV48" s="16">
        <f>IF(ISNA(VLOOKUP(A48,'Données projet'!$A$165:$I$185,3,0)),0,VLOOKUP(A48,'Données projet'!$A$165:$I$185,3,0))</f>
        <v>3</v>
      </c>
      <c r="DW48" s="16">
        <f>IF(ISNA(VLOOKUP(A48,'Données projet'!$A$165:$I$185,4,0)),0,VLOOKUP(A48,'Données projet'!$A$165:$I$185,4,0))</f>
        <v>49.8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185.60000000000002</v>
      </c>
      <c r="EH48" s="13">
        <f>VLOOKUP(A48,'Données projet'!$A$191:$I$211,9,0)</f>
        <v>6.5200000000000049</v>
      </c>
      <c r="EI48" s="13">
        <f t="array" ref="EI48">INDEX(EH:EH,MIN(IF(ISNUMBER(EH48:EH244),ROW(EH48:EH244),"")))</f>
        <v>6.5200000000000049</v>
      </c>
      <c r="EJ48" s="13">
        <f>IF('Données projet'!$A$192&gt;35,EJ47+EI48-ER47,IF(A48&lt;'Données projet'!$A$192,$EG$205^A48,IF(A48='Données projet'!$A$192,'Données projet'!$B$192,EJ47+EI48-ER47)))</f>
        <v>185.60000000000014</v>
      </c>
      <c r="EK48" s="18">
        <f>EJ48*VLOOKUP('Données projet'!$B$15,Paramètres!$A$1:$I$89,3,0)*VLOOKUP('Données projet'!$B$15,Paramètres!$A$1:$I$89,5,0)</f>
        <v>147.66336000000013</v>
      </c>
      <c r="EL48" s="14">
        <f t="shared" si="45"/>
        <v>38.047091559960762</v>
      </c>
      <c r="EM48" s="22">
        <f t="shared" si="19"/>
        <v>323.44570313359856</v>
      </c>
      <c r="EN48" s="60">
        <f t="shared" si="20"/>
        <v>616.77903646693187</v>
      </c>
      <c r="EO48" s="60">
        <f ca="1">AVERAGE(OFFSET($EN$3,0,0,'Données projet'!$E$15+1,1))-AVERAGE(OFFSET($H$3,0,0,'Données projet'!$E$15+1,1))</f>
        <v>253.03289960511904</v>
      </c>
      <c r="EP48" s="60">
        <f t="shared" si="46"/>
        <v>236.85088713056018</v>
      </c>
      <c r="EQ48" s="16">
        <f>IF(ISNA(VLOOKUP(A48,'Données projet'!$A$191:$I$211,3,0)),0,VLOOKUP(A48,'Données projet'!$A$191:$I$211,3,0))</f>
        <v>3</v>
      </c>
      <c r="ER48" s="16">
        <f>IF(ISNA(VLOOKUP(A48,'Données projet'!$A$191:$I$211,4,0)),0,VLOOKUP(A48,'Données projet'!$A$191:$I$211,4,0))</f>
        <v>39.299999999999997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185.60000000000002</v>
      </c>
      <c r="FC48" s="13">
        <f>VLOOKUP(A48,'Données projet'!$A$217:$I$237,9,0)</f>
        <v>6.5200000000000049</v>
      </c>
      <c r="FD48" s="13">
        <f t="array" ref="FD48">INDEX(FC:FC,MIN(IF(ISNUMBER(FC48:FC244),ROW(FC48:FC244),"")))</f>
        <v>6.5200000000000049</v>
      </c>
      <c r="FE48" s="13">
        <f>IF('Données projet'!$A$218&gt;35,FE47+FD48-FM47,IF(A48&lt;'Données projet'!$A$218,$FB$205^A48,IF(A48='Données projet'!$A$218,'Données projet'!$B$218,FE47+FD48-FM47)))</f>
        <v>185.60000000000014</v>
      </c>
      <c r="FF48" s="18">
        <f>FE48*VLOOKUP('Données projet'!$B$16,Paramètres!$A$1:$I$89,3,0)*VLOOKUP('Données projet'!$B$16,Paramètres!$A$1:$I$89,5,0)</f>
        <v>162.14016000000015</v>
      </c>
      <c r="FG48" s="14">
        <f t="shared" si="47"/>
        <v>41.324860537333748</v>
      </c>
      <c r="FH48" s="22">
        <f t="shared" si="22"/>
        <v>354.36824410252319</v>
      </c>
      <c r="FI48" s="60">
        <f t="shared" si="23"/>
        <v>647.70157743585651</v>
      </c>
      <c r="FJ48" s="60">
        <f ca="1">AVERAGE(OFFSET($FI$3,0,0,'Données projet'!$E$16+1,1))-AVERAGE(OFFSET($H$3,0,0,'Données projet'!$E$16+1,1))</f>
        <v>274.38315511766132</v>
      </c>
      <c r="FK48" s="60">
        <f t="shared" si="48"/>
        <v>255.96663040027175</v>
      </c>
      <c r="FL48" s="16">
        <f>IF(ISNA(VLOOKUP(A48,'Données projet'!$A$217:$I$237,3,0)),0,VLOOKUP(A48,'Données projet'!$A$217:$I$237,3,0))</f>
        <v>3</v>
      </c>
      <c r="FM48" s="16">
        <f>IF(ISNA(VLOOKUP(A48,'Données projet'!$A$217:$I$237,4,0)),0,VLOOKUP(A48,'Données projet'!$A$217:$I$237,4,0))</f>
        <v>39.299999999999997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15.666666666666666</v>
      </c>
      <c r="FZ48" s="13">
        <f>IF('Données projet'!$A$244&gt;35,FZ47+FY48-GH47,IF(A48&lt;'Données projet'!$A$244,$FW$205^A48,IF(A48='Données projet'!$A$244,'Données projet'!$B$244,FZ47+FY48-GH47)))</f>
        <v>192.99999999999989</v>
      </c>
      <c r="GA48" s="18">
        <f>FZ48*VLOOKUP('Données projet'!$B$17,Paramètres!$A$1:$I$89,3,0)*VLOOKUP('Données projet'!$B$17,Paramètres!$A$1:$I$89,5,0)</f>
        <v>165.59399999999994</v>
      </c>
      <c r="GB48" s="14">
        <f t="shared" si="49"/>
        <v>42.101723105196754</v>
      </c>
      <c r="GC48" s="22">
        <f t="shared" si="25"/>
        <v>361.73671774155088</v>
      </c>
      <c r="GD48" s="60">
        <f t="shared" si="26"/>
        <v>655.07005107488419</v>
      </c>
      <c r="GE48" s="60">
        <f ca="1">AVERAGE(OFFSET($GD$3,0,0,'Données projet'!$E$17+1,1))-AVERAGE(OFFSET($H$3,0,0,'Données projet'!$E$17+1,1))</f>
        <v>445.81166342116865</v>
      </c>
      <c r="GF48" s="60">
        <f t="shared" si="50"/>
        <v>230.82970731138215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10.375</v>
      </c>
      <c r="GU48" s="13">
        <f>IF('Données projet'!$A$270&gt;35,GU47+GT48-HC47,IF(A48&lt;'Données projet'!$A$270,$GR$205^A48,IF(A48='Données projet'!$A$270,'Données projet'!$B$270,GU47+GT48-HC47)))</f>
        <v>197.37499999999991</v>
      </c>
      <c r="GV48" s="18">
        <f>GU48*VLOOKUP('Données projet'!$B$18,Paramètres!$A$1:$I$89,3,0)*VLOOKUP('Données projet'!$B$18,Paramètres!$A$1:$I$89,5,0)</f>
        <v>153.95249999999993</v>
      </c>
      <c r="GW48" s="14">
        <f t="shared" si="51"/>
        <v>39.475441267837361</v>
      </c>
      <c r="GX48" s="22">
        <f t="shared" si="28"/>
        <v>336.88699770814992</v>
      </c>
      <c r="GY48" s="60">
        <f t="shared" si="29"/>
        <v>630.22033104148318</v>
      </c>
      <c r="GZ48" s="60">
        <f ca="1">AVERAGE(OFFSET($GY$3,0,0,'Données projet'!$E$18+1,1))-AVERAGE(OFFSET($H$3,0,0,'Données projet'!$E$18+1,1))</f>
        <v>289.19475369871481</v>
      </c>
      <c r="HA48" s="60">
        <f t="shared" si="52"/>
        <v>283.48738729114024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projet'!$B$18,Paramètres!$A$1:$I$89,3,0)*0.475*44/12</f>
        <v>0</v>
      </c>
      <c r="HH48" s="23">
        <f>EXP(-LN(2)/25)*HH47+(1-EXP(-LN(2)/25))/(LN(2)/25)*Calculateur!HC48*Calculateur!HE48*VLOOKUP('Données projet'!$B$18,Paramètres!$A$1:$I$89,3,0)*0.475*44/12</f>
        <v>0</v>
      </c>
      <c r="HI48" s="23">
        <f>EXP(-LN(2)/2)*HI47+(1-EXP(-LN(2)/2))/(LN(2)/2)*HC48*HF48*VLOOKUP('Données projet'!$B$18,Paramètres!$A$1:$I$89,3,0)*0.475*44/12</f>
        <v>0</v>
      </c>
      <c r="HJ48" s="24">
        <f t="shared" si="30"/>
        <v>0</v>
      </c>
    </row>
    <row r="49" spans="1:218" s="5" customFormat="1" x14ac:dyDescent="0.3">
      <c r="A49" s="11">
        <f t="shared" si="31"/>
        <v>46</v>
      </c>
      <c r="B49" s="75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8">
        <f t="shared" si="1"/>
        <v>256.66666666666669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145.20000000000005</v>
      </c>
      <c r="O49" s="14">
        <f>N49*VLOOKUP('Données projet'!$B$9,Paramètres!$A$1:$I$89,3,0)*VLOOKUP('Données projet'!$B$9,Paramètres!$A$1:$I$89,5,0)</f>
        <v>140.43744000000004</v>
      </c>
      <c r="P49" s="14">
        <f t="shared" si="33"/>
        <v>36.397198653986358</v>
      </c>
      <c r="Q49" s="22">
        <f t="shared" si="53"/>
        <v>307.98699565569297</v>
      </c>
      <c r="R49" s="60">
        <f t="shared" si="0"/>
        <v>601.32032898902628</v>
      </c>
      <c r="S49" s="60">
        <f ca="1">AVERAGE(OFFSET($R$3,0,0,'Données projet'!$E$9+1,1))-AVERAGE(OFFSET($H$3,0,0,'Données projet'!$E$9+1,1))</f>
        <v>456.86147223520601</v>
      </c>
      <c r="T49" s="60">
        <f t="shared" si="34"/>
        <v>244.45149244446094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2.5</v>
      </c>
      <c r="AI49" s="14">
        <f>IF('Données projet'!$A$62&gt;35,AI48+AH49-AQ48,IF(A49&lt;'Données projet'!$A$62,$AF$205^A49,IF(A49='Données projet'!$A$62,'Données projet'!$B$62,AI48+AH49-AQ48)))</f>
        <v>128.00000000000003</v>
      </c>
      <c r="AJ49" s="14">
        <f>AI49*VLOOKUP('Données projet'!$B$10,Paramètres!$A$1:$I$89,3,0)*VLOOKUP('Données projet'!$B$10,Paramètres!$A$1:$I$89,5,0)</f>
        <v>83.865600000000029</v>
      </c>
      <c r="AK49" s="14">
        <f t="shared" si="35"/>
        <v>23.079732033574274</v>
      </c>
      <c r="AL49" s="22">
        <f t="shared" si="4"/>
        <v>186.26311995847524</v>
      </c>
      <c r="AM49" s="60">
        <f t="shared" si="5"/>
        <v>479.59645329180853</v>
      </c>
      <c r="AN49" s="60">
        <f ca="1">AVERAGE(OFFSET($AM$3,0,0,'Données projet'!$E$10+1,1))-AVERAGE(OFFSET($H$3,0,0,'Données projet'!$E$10+1,1))</f>
        <v>170.79567854714986</v>
      </c>
      <c r="AO49" s="60">
        <f t="shared" si="36"/>
        <v>155.92788004111191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7.6</v>
      </c>
      <c r="BD49" s="13">
        <f>IF('Données projet'!$A$88&gt;35,BD48+BC49-BL48,IF(A49&lt;'Données projet'!$A$88,$BA$205^A49,IF(A49='Données projet'!$A$88,'Données projet'!$B$88,BD48+BC49-BL48)))</f>
        <v>197.6</v>
      </c>
      <c r="BE49" s="14">
        <f>BD49*VLOOKUP('Données projet'!$B$11,Paramètres!$A$1:$I$89,3,0)*VLOOKUP('Données projet'!$B$11,Paramètres!$A$1:$I$89,5,0)</f>
        <v>160.29311999999999</v>
      </c>
      <c r="BF49" s="14">
        <f t="shared" si="37"/>
        <v>40.908622396455648</v>
      </c>
      <c r="BG49" s="22">
        <f t="shared" si="7"/>
        <v>350.42636800716019</v>
      </c>
      <c r="BH49" s="60">
        <f t="shared" si="8"/>
        <v>643.75970134049351</v>
      </c>
      <c r="BI49" s="60">
        <f ca="1">AVERAGE(OFFSET($BH$3,0,0,'Données projet'!$E$11+1,1))-AVERAGE(OFFSET($H$3,0,0,'Données projet'!$E$11+1,1))</f>
        <v>256.19915261735281</v>
      </c>
      <c r="BJ49" s="60">
        <f t="shared" si="38"/>
        <v>297.47246687305056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5.2564102564102537</v>
      </c>
      <c r="BY49" s="13">
        <f>IF('Données projet'!$A$114&gt;35,BY48+BX49-CG48,IF(A49&lt;'Données projet'!$A$114,$BV$205^A49,IF(A49='Données projet'!$A$114,'Données projet'!$B$114,BY48+BX49-CG48)))</f>
        <v>137.30769230769229</v>
      </c>
      <c r="BZ49" s="14">
        <f>BY49*VLOOKUP('Données projet'!$B$12,Paramètres!$A$1:$I$89,3,0)*VLOOKUP('Données projet'!$B$12,Paramètres!$A$1:$I$89,5,0)</f>
        <v>130.66199999999998</v>
      </c>
      <c r="CA49" s="14">
        <f t="shared" si="39"/>
        <v>34.149282845527253</v>
      </c>
      <c r="CB49" s="22">
        <f t="shared" si="10"/>
        <v>287.04631762262659</v>
      </c>
      <c r="CC49" s="60">
        <f t="shared" si="11"/>
        <v>580.37965095595996</v>
      </c>
      <c r="CD49" s="60">
        <f ca="1">AVERAGE(OFFSET($CC$3,0,0,'Données projet'!$E$12+1,1))-AVERAGE(OFFSET($H$3,0,0,'Données projet'!$E$12+1,1))</f>
        <v>353.53401919391234</v>
      </c>
      <c r="CE49" s="60">
        <f t="shared" si="40"/>
        <v>244.7141066773861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8.1999999999999993</v>
      </c>
      <c r="CT49" s="13">
        <f>IF('Données projet'!$A$140&gt;35,CT48+CS49-DB48,IF(A49&lt;'Données projet'!$A$140,$CQ$205^A49,IF(A49='Données projet'!$A$140,'Données projet'!$B$140,CT48+CS49-DB48)))</f>
        <v>145.20000000000005</v>
      </c>
      <c r="CU49" s="18">
        <f>CT49*VLOOKUP('Données projet'!$B$13,Paramètres!$A$1:$I$89,3,0)*VLOOKUP('Données projet'!$B$13,Paramètres!$A$1:$I$89,5,0)</f>
        <v>122.31648000000006</v>
      </c>
      <c r="CV49" s="14">
        <f t="shared" si="41"/>
        <v>32.214677527967339</v>
      </c>
      <c r="CW49" s="22">
        <f t="shared" si="13"/>
        <v>269.14176602787654</v>
      </c>
      <c r="CX49" s="60">
        <f t="shared" si="14"/>
        <v>562.47509936120991</v>
      </c>
      <c r="CY49" s="60">
        <f ca="1">AVERAGE(OFFSET($CX$3,0,0,'Données projet'!$E$13+1,1))-AVERAGE(OFFSET($H$3,0,0,'Données projet'!$E$13+1,1))</f>
        <v>403.33327536410098</v>
      </c>
      <c r="CZ49" s="60">
        <f t="shared" si="42"/>
        <v>218.26721063098552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7.1199999999999992</v>
      </c>
      <c r="DO49" s="13">
        <f>IF('Données projet'!$A$166&gt;35,DO48+DN49-DW48,IF(A49&lt;'Données projet'!$A$166,$DL$205^A49,IF(A49='Données projet'!$A$166,'Données projet'!$B$166,DO48+DN49-DW48)))</f>
        <v>189.92000000000007</v>
      </c>
      <c r="DP49" s="18">
        <f>DO49*VLOOKUP('Données projet'!$B$14,Paramètres!$A$1:$I$89,3,0)*VLOOKUP('Données projet'!$B$14,Paramètres!$A$1:$I$89,5,0)</f>
        <v>151.10035200000007</v>
      </c>
      <c r="DQ49" s="14">
        <f t="shared" si="43"/>
        <v>38.828538092320272</v>
      </c>
      <c r="DR49" s="22">
        <f t="shared" si="16"/>
        <v>330.79281691079126</v>
      </c>
      <c r="DS49" s="60">
        <f t="shared" si="17"/>
        <v>624.12615024412457</v>
      </c>
      <c r="DT49" s="60">
        <f ca="1">AVERAGE(OFFSET($DS$3,0,0,'Données projet'!$E$14+1,1))-AVERAGE(OFFSET($H$3,0,0,'Données projet'!$E$14+1,1))</f>
        <v>317.13087551964747</v>
      </c>
      <c r="DU49" s="60">
        <f t="shared" si="44"/>
        <v>293.43300041793185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5.580000000000001</v>
      </c>
      <c r="EJ49" s="13">
        <f>IF('Données projet'!$A$192&gt;35,EJ48+EI49-ER48,IF(A49&lt;'Données projet'!$A$192,$EG$205^A49,IF(A49='Données projet'!$A$192,'Données projet'!$B$192,EJ48+EI49-ER48)))</f>
        <v>151.88000000000017</v>
      </c>
      <c r="EK49" s="18">
        <f>EJ49*VLOOKUP('Données projet'!$B$15,Paramètres!$A$1:$I$89,3,0)*VLOOKUP('Données projet'!$B$15,Paramètres!$A$1:$I$89,5,0)</f>
        <v>120.83572800000013</v>
      </c>
      <c r="EL49" s="14">
        <f t="shared" si="45"/>
        <v>31.869840323438812</v>
      </c>
      <c r="EM49" s="22">
        <f t="shared" si="19"/>
        <v>265.9621981633228</v>
      </c>
      <c r="EN49" s="60">
        <f t="shared" si="20"/>
        <v>559.29553149665617</v>
      </c>
      <c r="EO49" s="60">
        <f ca="1">AVERAGE(OFFSET($EN$3,0,0,'Données projet'!$E$15+1,1))-AVERAGE(OFFSET($H$3,0,0,'Données projet'!$E$15+1,1))</f>
        <v>253.03289960511904</v>
      </c>
      <c r="EP49" s="60">
        <f t="shared" si="46"/>
        <v>236.85088713056018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5.580000000000001</v>
      </c>
      <c r="FE49" s="13">
        <f>IF('Données projet'!$A$218&gt;35,FE48+FD49-FM48,IF(A49&lt;'Données projet'!$A$218,$FB$205^A49,IF(A49='Données projet'!$A$218,'Données projet'!$B$218,FE48+FD49-FM48)))</f>
        <v>151.88000000000017</v>
      </c>
      <c r="FF49" s="18">
        <f>FE49*VLOOKUP('Données projet'!$B$16,Paramètres!$A$1:$I$89,3,0)*VLOOKUP('Données projet'!$B$16,Paramètres!$A$1:$I$89,5,0)</f>
        <v>132.68236800000017</v>
      </c>
      <c r="FG49" s="14">
        <f t="shared" si="47"/>
        <v>34.61543715207867</v>
      </c>
      <c r="FH49" s="22">
        <f t="shared" si="22"/>
        <v>291.37701063987066</v>
      </c>
      <c r="FI49" s="60">
        <f t="shared" si="23"/>
        <v>584.71034397320398</v>
      </c>
      <c r="FJ49" s="60">
        <f ca="1">AVERAGE(OFFSET($FI$3,0,0,'Données projet'!$E$16+1,1))-AVERAGE(OFFSET($H$3,0,0,'Données projet'!$E$16+1,1))</f>
        <v>274.38315511766132</v>
      </c>
      <c r="FK49" s="60">
        <f t="shared" si="48"/>
        <v>255.96663040027175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15.666666666666666</v>
      </c>
      <c r="FZ49" s="13">
        <f>IF('Données projet'!$A$244&gt;35,FZ48+FY49-GH48,IF(A49&lt;'Données projet'!$A$244,$FW$205^A49,IF(A49='Données projet'!$A$244,'Données projet'!$B$244,FZ48+FY49-GH48)))</f>
        <v>208.66666666666654</v>
      </c>
      <c r="GA49" s="18">
        <f>FZ49*VLOOKUP('Données projet'!$B$17,Paramètres!$A$1:$I$89,3,0)*VLOOKUP('Données projet'!$B$17,Paramètres!$A$1:$I$89,5,0)</f>
        <v>179.03599999999992</v>
      </c>
      <c r="GB49" s="14">
        <f t="shared" si="49"/>
        <v>45.1076469440343</v>
      </c>
      <c r="GC49" s="22">
        <f t="shared" si="25"/>
        <v>390.38351842752627</v>
      </c>
      <c r="GD49" s="60">
        <f t="shared" si="26"/>
        <v>683.71685176085953</v>
      </c>
      <c r="GE49" s="60">
        <f ca="1">AVERAGE(OFFSET($GD$3,0,0,'Données projet'!$E$17+1,1))-AVERAGE(OFFSET($H$3,0,0,'Données projet'!$E$17+1,1))</f>
        <v>445.81166342116865</v>
      </c>
      <c r="GF49" s="60">
        <f t="shared" si="50"/>
        <v>230.82970731138215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10.375</v>
      </c>
      <c r="GU49" s="13">
        <f>IF('Données projet'!$A$270&gt;35,GU48+GT49-HC48,IF(A49&lt;'Données projet'!$A$270,$GR$205^A49,IF(A49='Données projet'!$A$270,'Données projet'!$B$270,GU48+GT49-HC48)))</f>
        <v>207.74999999999991</v>
      </c>
      <c r="GV49" s="18">
        <f>GU49*VLOOKUP('Données projet'!$B$18,Paramètres!$A$1:$I$89,3,0)*VLOOKUP('Données projet'!$B$18,Paramètres!$A$1:$I$89,5,0)</f>
        <v>162.04499999999993</v>
      </c>
      <c r="GW49" s="14">
        <f t="shared" si="51"/>
        <v>41.303429372463391</v>
      </c>
      <c r="GX49" s="22">
        <f t="shared" si="28"/>
        <v>354.16518115704025</v>
      </c>
      <c r="GY49" s="60">
        <f t="shared" si="29"/>
        <v>647.49851449037351</v>
      </c>
      <c r="GZ49" s="60">
        <f ca="1">AVERAGE(OFFSET($GY$3,0,0,'Données projet'!$E$18+1,1))-AVERAGE(OFFSET($H$3,0,0,'Données projet'!$E$18+1,1))</f>
        <v>289.19475369871481</v>
      </c>
      <c r="HA49" s="60">
        <f t="shared" si="52"/>
        <v>283.48738729114024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projet'!$B$18,Paramètres!$A$1:$I$89,3,0)*0.475*44/12</f>
        <v>0</v>
      </c>
      <c r="HH49" s="23">
        <f>EXP(-LN(2)/25)*HH48+(1-EXP(-LN(2)/25))/(LN(2)/25)*Calculateur!HC49*Calculateur!HE49*VLOOKUP('Données projet'!$B$18,Paramètres!$A$1:$I$89,3,0)*0.475*44/12</f>
        <v>0</v>
      </c>
      <c r="HI49" s="23">
        <f>EXP(-LN(2)/2)*HI48+(1-EXP(-LN(2)/2))/(LN(2)/2)*HC49*HF49*VLOOKUP('Données projet'!$B$18,Paramètres!$A$1:$I$89,3,0)*0.475*44/12</f>
        <v>0</v>
      </c>
      <c r="HJ49" s="24">
        <f t="shared" si="30"/>
        <v>0</v>
      </c>
    </row>
    <row r="50" spans="1:218" s="5" customFormat="1" x14ac:dyDescent="0.3">
      <c r="A50" s="11">
        <f t="shared" si="31"/>
        <v>47</v>
      </c>
      <c r="B50" s="75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8">
        <f t="shared" si="1"/>
        <v>256.66666666666669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153.40000000000003</v>
      </c>
      <c r="O50" s="14">
        <f>N50*VLOOKUP('Données projet'!$B$9,Paramètres!$A$1:$I$89,3,0)*VLOOKUP('Données projet'!$B$9,Paramètres!$A$1:$I$89,5,0)</f>
        <v>148.36848000000003</v>
      </c>
      <c r="P50" s="14">
        <f t="shared" si="33"/>
        <v>38.207581183185901</v>
      </c>
      <c r="Q50" s="22">
        <f t="shared" si="53"/>
        <v>324.95330656071548</v>
      </c>
      <c r="R50" s="60">
        <f t="shared" si="0"/>
        <v>618.28663989404879</v>
      </c>
      <c r="S50" s="60">
        <f ca="1">AVERAGE(OFFSET($R$3,0,0,'Données projet'!$E$9+1,1))-AVERAGE(OFFSET($H$3,0,0,'Données projet'!$E$9+1,1))</f>
        <v>456.86147223520601</v>
      </c>
      <c r="T50" s="60">
        <f t="shared" si="34"/>
        <v>244.45149244446094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2.5</v>
      </c>
      <c r="AI50" s="14">
        <f>IF('Données projet'!$A$62&gt;35,AI49+AH50-AQ49,IF(A50&lt;'Données projet'!$A$62,$AF$205^A50,IF(A50='Données projet'!$A$62,'Données projet'!$B$62,AI49+AH50-AQ49)))</f>
        <v>130.50000000000003</v>
      </c>
      <c r="AJ50" s="14">
        <f>AI50*VLOOKUP('Données projet'!$B$10,Paramètres!$A$1:$I$89,3,0)*VLOOKUP('Données projet'!$B$10,Paramètres!$A$1:$I$89,5,0)</f>
        <v>85.50360000000002</v>
      </c>
      <c r="AK50" s="14">
        <f t="shared" si="35"/>
        <v>23.477588217192526</v>
      </c>
      <c r="AL50" s="22">
        <f t="shared" si="4"/>
        <v>189.80890281161032</v>
      </c>
      <c r="AM50" s="60">
        <f t="shared" si="5"/>
        <v>483.14223614494364</v>
      </c>
      <c r="AN50" s="60">
        <f ca="1">AVERAGE(OFFSET($AM$3,0,0,'Données projet'!$E$10+1,1))-AVERAGE(OFFSET($H$3,0,0,'Données projet'!$E$10+1,1))</f>
        <v>170.79567854714986</v>
      </c>
      <c r="AO50" s="60">
        <f t="shared" si="36"/>
        <v>155.92788004111191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7.6</v>
      </c>
      <c r="BD50" s="13">
        <f>IF('Données projet'!$A$88&gt;35,BD49+BC50-BL49,IF(A50&lt;'Données projet'!$A$88,$BA$205^A50,IF(A50='Données projet'!$A$88,'Données projet'!$B$88,BD49+BC50-BL49)))</f>
        <v>205.2</v>
      </c>
      <c r="BE50" s="14">
        <f>BD50*VLOOKUP('Données projet'!$B$11,Paramètres!$A$1:$I$89,3,0)*VLOOKUP('Données projet'!$B$11,Paramètres!$A$1:$I$89,5,0)</f>
        <v>166.45823999999999</v>
      </c>
      <c r="BF50" s="14">
        <f t="shared" si="37"/>
        <v>42.295817799452642</v>
      </c>
      <c r="BG50" s="22">
        <f t="shared" si="7"/>
        <v>363.5799840007133</v>
      </c>
      <c r="BH50" s="60">
        <f t="shared" si="8"/>
        <v>656.91331733404661</v>
      </c>
      <c r="BI50" s="60">
        <f ca="1">AVERAGE(OFFSET($BH$3,0,0,'Données projet'!$E$11+1,1))-AVERAGE(OFFSET($H$3,0,0,'Données projet'!$E$11+1,1))</f>
        <v>256.19915261735281</v>
      </c>
      <c r="BJ50" s="60">
        <f t="shared" si="38"/>
        <v>297.47246687305056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5.2564102564102537</v>
      </c>
      <c r="BY50" s="13">
        <f>IF('Données projet'!$A$114&gt;35,BY49+BX50-CG49,IF(A50&lt;'Données projet'!$A$114,$BV$205^A50,IF(A50='Données projet'!$A$114,'Données projet'!$B$114,BY49+BX50-CG49)))</f>
        <v>142.56410256410254</v>
      </c>
      <c r="BZ50" s="14">
        <f>BY50*VLOOKUP('Données projet'!$B$12,Paramètres!$A$1:$I$89,3,0)*VLOOKUP('Données projet'!$B$12,Paramètres!$A$1:$I$89,5,0)</f>
        <v>135.66399999999999</v>
      </c>
      <c r="CA50" s="14">
        <f t="shared" si="39"/>
        <v>35.301877311719494</v>
      </c>
      <c r="CB50" s="22">
        <f t="shared" si="10"/>
        <v>297.76556965124479</v>
      </c>
      <c r="CC50" s="60">
        <f t="shared" si="11"/>
        <v>591.0989029845781</v>
      </c>
      <c r="CD50" s="60">
        <f ca="1">AVERAGE(OFFSET($CC$3,0,0,'Données projet'!$E$12+1,1))-AVERAGE(OFFSET($H$3,0,0,'Données projet'!$E$12+1,1))</f>
        <v>353.53401919391234</v>
      </c>
      <c r="CE50" s="60">
        <f t="shared" si="40"/>
        <v>244.7141066773861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8.1999999999999993</v>
      </c>
      <c r="CT50" s="13">
        <f>IF('Données projet'!$A$140&gt;35,CT49+CS50-DB49,IF(A50&lt;'Données projet'!$A$140,$CQ$205^A50,IF(A50='Données projet'!$A$140,'Données projet'!$B$140,CT49+CS50-DB49)))</f>
        <v>153.40000000000003</v>
      </c>
      <c r="CU50" s="18">
        <f>CT50*VLOOKUP('Données projet'!$B$13,Paramètres!$A$1:$I$89,3,0)*VLOOKUP('Données projet'!$B$13,Paramètres!$A$1:$I$89,5,0)</f>
        <v>129.22416000000004</v>
      </c>
      <c r="CV50" s="14">
        <f t="shared" si="41"/>
        <v>33.817023080295762</v>
      </c>
      <c r="CW50" s="22">
        <f t="shared" si="13"/>
        <v>283.96339386484851</v>
      </c>
      <c r="CX50" s="60">
        <f t="shared" si="14"/>
        <v>577.29672719818177</v>
      </c>
      <c r="CY50" s="60">
        <f ca="1">AVERAGE(OFFSET($CX$3,0,0,'Données projet'!$E$13+1,1))-AVERAGE(OFFSET($H$3,0,0,'Données projet'!$E$13+1,1))</f>
        <v>403.33327536410098</v>
      </c>
      <c r="CZ50" s="60">
        <f t="shared" si="42"/>
        <v>218.26721063098552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7.1199999999999992</v>
      </c>
      <c r="DO50" s="13">
        <f>IF('Données projet'!$A$166&gt;35,DO49+DN50-DW49,IF(A50&lt;'Données projet'!$A$166,$DL$205^A50,IF(A50='Données projet'!$A$166,'Données projet'!$B$166,DO49+DN50-DW49)))</f>
        <v>197.04000000000008</v>
      </c>
      <c r="DP50" s="18">
        <f>DO50*VLOOKUP('Données projet'!$B$14,Paramètres!$A$1:$I$89,3,0)*VLOOKUP('Données projet'!$B$14,Paramètres!$A$1:$I$89,5,0)</f>
        <v>156.76502400000007</v>
      </c>
      <c r="DQ50" s="14">
        <f t="shared" si="43"/>
        <v>40.111992405007946</v>
      </c>
      <c r="DR50" s="22">
        <f t="shared" si="16"/>
        <v>342.8941369053889</v>
      </c>
      <c r="DS50" s="60">
        <f t="shared" si="17"/>
        <v>636.22747023872216</v>
      </c>
      <c r="DT50" s="60">
        <f ca="1">AVERAGE(OFFSET($DS$3,0,0,'Données projet'!$E$14+1,1))-AVERAGE(OFFSET($H$3,0,0,'Données projet'!$E$14+1,1))</f>
        <v>317.13087551964747</v>
      </c>
      <c r="DU50" s="60">
        <f t="shared" si="44"/>
        <v>293.43300041793185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5.580000000000001</v>
      </c>
      <c r="EJ50" s="13">
        <f>IF('Données projet'!$A$192&gt;35,EJ49+EI50-ER49,IF(A50&lt;'Données projet'!$A$192,$EG$205^A50,IF(A50='Données projet'!$A$192,'Données projet'!$B$192,EJ49+EI50-ER49)))</f>
        <v>157.46000000000018</v>
      </c>
      <c r="EK50" s="18">
        <f>EJ50*VLOOKUP('Données projet'!$B$15,Paramètres!$A$1:$I$89,3,0)*VLOOKUP('Données projet'!$B$15,Paramètres!$A$1:$I$89,5,0)</f>
        <v>125.27517600000014</v>
      </c>
      <c r="EL50" s="14">
        <f t="shared" si="45"/>
        <v>32.902249999525701</v>
      </c>
      <c r="EM50" s="22">
        <f t="shared" si="19"/>
        <v>275.49235028250746</v>
      </c>
      <c r="EN50" s="60">
        <f t="shared" si="20"/>
        <v>568.82568361584072</v>
      </c>
      <c r="EO50" s="60">
        <f ca="1">AVERAGE(OFFSET($EN$3,0,0,'Données projet'!$E$15+1,1))-AVERAGE(OFFSET($H$3,0,0,'Données projet'!$E$15+1,1))</f>
        <v>253.03289960511904</v>
      </c>
      <c r="EP50" s="60">
        <f t="shared" si="46"/>
        <v>236.85088713056018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5.580000000000001</v>
      </c>
      <c r="FE50" s="13">
        <f>IF('Données projet'!$A$218&gt;35,FE49+FD50-FM49,IF(A50&lt;'Données projet'!$A$218,$FB$205^A50,IF(A50='Données projet'!$A$218,'Données projet'!$B$218,FE49+FD50-FM49)))</f>
        <v>157.46000000000018</v>
      </c>
      <c r="FF50" s="18">
        <f>FE50*VLOOKUP('Données projet'!$B$16,Paramètres!$A$1:$I$89,3,0)*VLOOKUP('Données projet'!$B$16,Paramètres!$A$1:$I$89,5,0)</f>
        <v>137.55705600000019</v>
      </c>
      <c r="FG50" s="14">
        <f t="shared" si="47"/>
        <v>35.736789248452347</v>
      </c>
      <c r="FH50" s="22">
        <f t="shared" si="22"/>
        <v>301.82011380772144</v>
      </c>
      <c r="FI50" s="60">
        <f t="shared" si="23"/>
        <v>595.15344714105481</v>
      </c>
      <c r="FJ50" s="60">
        <f ca="1">AVERAGE(OFFSET($FI$3,0,0,'Données projet'!$E$16+1,1))-AVERAGE(OFFSET($H$3,0,0,'Données projet'!$E$16+1,1))</f>
        <v>274.38315511766132</v>
      </c>
      <c r="FK50" s="60">
        <f t="shared" si="48"/>
        <v>255.96663040027175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15.666666666666666</v>
      </c>
      <c r="FZ50" s="13">
        <f>IF('Données projet'!$A$244&gt;35,FZ49+FY50-GH49,IF(A50&lt;'Données projet'!$A$244,$FW$205^A50,IF(A50='Données projet'!$A$244,'Données projet'!$B$244,FZ49+FY50-GH49)))</f>
        <v>224.3333333333332</v>
      </c>
      <c r="GA50" s="18">
        <f>FZ50*VLOOKUP('Données projet'!$B$17,Paramètres!$A$1:$I$89,3,0)*VLOOKUP('Données projet'!$B$17,Paramètres!$A$1:$I$89,5,0)</f>
        <v>192.47799999999989</v>
      </c>
      <c r="GB50" s="14">
        <f t="shared" si="49"/>
        <v>48.087389626209038</v>
      </c>
      <c r="GC50" s="22">
        <f t="shared" si="25"/>
        <v>418.98472026564724</v>
      </c>
      <c r="GD50" s="60">
        <f t="shared" si="26"/>
        <v>712.31805359898055</v>
      </c>
      <c r="GE50" s="60">
        <f ca="1">AVERAGE(OFFSET($GD$3,0,0,'Données projet'!$E$17+1,1))-AVERAGE(OFFSET($H$3,0,0,'Données projet'!$E$17+1,1))</f>
        <v>445.81166342116865</v>
      </c>
      <c r="GF50" s="60">
        <f t="shared" si="50"/>
        <v>230.82970731138215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10.375</v>
      </c>
      <c r="GU50" s="13">
        <f>IF('Données projet'!$A$270&gt;35,GU49+GT50-HC49,IF(A50&lt;'Données projet'!$A$270,$GR$205^A50,IF(A50='Données projet'!$A$270,'Données projet'!$B$270,GU49+GT50-HC49)))</f>
        <v>218.12499999999991</v>
      </c>
      <c r="GV50" s="18">
        <f>GU50*VLOOKUP('Données projet'!$B$18,Paramètres!$A$1:$I$89,3,0)*VLOOKUP('Données projet'!$B$18,Paramètres!$A$1:$I$89,5,0)</f>
        <v>170.13749999999993</v>
      </c>
      <c r="GW50" s="14">
        <f t="shared" si="51"/>
        <v>43.120817562072375</v>
      </c>
      <c r="GX50" s="22">
        <f t="shared" si="28"/>
        <v>371.42490308727588</v>
      </c>
      <c r="GY50" s="60">
        <f t="shared" si="29"/>
        <v>664.75823642060914</v>
      </c>
      <c r="GZ50" s="60">
        <f ca="1">AVERAGE(OFFSET($GY$3,0,0,'Données projet'!$E$18+1,1))-AVERAGE(OFFSET($H$3,0,0,'Données projet'!$E$18+1,1))</f>
        <v>289.19475369871481</v>
      </c>
      <c r="HA50" s="60">
        <f t="shared" si="52"/>
        <v>283.48738729114024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projet'!$B$18,Paramètres!$A$1:$I$89,3,0)*0.475*44/12</f>
        <v>0</v>
      </c>
      <c r="HH50" s="23">
        <f>EXP(-LN(2)/25)*HH49+(1-EXP(-LN(2)/25))/(LN(2)/25)*Calculateur!HC50*Calculateur!HE50*VLOOKUP('Données projet'!$B$18,Paramètres!$A$1:$I$89,3,0)*0.475*44/12</f>
        <v>0</v>
      </c>
      <c r="HI50" s="23">
        <f>EXP(-LN(2)/2)*HI49+(1-EXP(-LN(2)/2))/(LN(2)/2)*HC50*HF50*VLOOKUP('Données projet'!$B$18,Paramètres!$A$1:$I$89,3,0)*0.475*44/12</f>
        <v>0</v>
      </c>
      <c r="HJ50" s="24">
        <f t="shared" si="30"/>
        <v>0</v>
      </c>
    </row>
    <row r="51" spans="1:218" s="5" customFormat="1" x14ac:dyDescent="0.3">
      <c r="A51" s="11">
        <f t="shared" si="31"/>
        <v>48</v>
      </c>
      <c r="B51" s="75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8">
        <f t="shared" si="1"/>
        <v>256.66666666666669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161.60000000000002</v>
      </c>
      <c r="O51" s="14">
        <f>N51*VLOOKUP('Données projet'!$B$9,Paramètres!$A$1:$I$89,3,0)*VLOOKUP('Données projet'!$B$9,Paramètres!$A$1:$I$89,5,0)</f>
        <v>156.29952000000003</v>
      </c>
      <c r="P51" s="14">
        <f t="shared" si="33"/>
        <v>40.006728538728431</v>
      </c>
      <c r="Q51" s="22">
        <f t="shared" si="53"/>
        <v>341.90004953828537</v>
      </c>
      <c r="R51" s="60">
        <f t="shared" si="0"/>
        <v>635.23338287161869</v>
      </c>
      <c r="S51" s="60">
        <f ca="1">AVERAGE(OFFSET($R$3,0,0,'Données projet'!$E$9+1,1))-AVERAGE(OFFSET($H$3,0,0,'Données projet'!$E$9+1,1))</f>
        <v>456.86147223520601</v>
      </c>
      <c r="T51" s="60">
        <f t="shared" si="34"/>
        <v>244.45149244446094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2.5</v>
      </c>
      <c r="AI51" s="14">
        <f>IF('Données projet'!$A$62&gt;35,AI50+AH51-AQ50,IF(A51&lt;'Données projet'!$A$62,$AF$205^A51,IF(A51='Données projet'!$A$62,'Données projet'!$B$62,AI50+AH51-AQ50)))</f>
        <v>133.00000000000003</v>
      </c>
      <c r="AJ51" s="14">
        <f>AI51*VLOOKUP('Données projet'!$B$10,Paramètres!$A$1:$I$89,3,0)*VLOOKUP('Données projet'!$B$10,Paramètres!$A$1:$I$89,5,0)</f>
        <v>87.141600000000011</v>
      </c>
      <c r="AK51" s="14">
        <f t="shared" si="35"/>
        <v>23.874558158360966</v>
      </c>
      <c r="AL51" s="22">
        <f t="shared" si="4"/>
        <v>193.35314212581204</v>
      </c>
      <c r="AM51" s="60">
        <f t="shared" si="5"/>
        <v>486.68647545914536</v>
      </c>
      <c r="AN51" s="60">
        <f ca="1">AVERAGE(OFFSET($AM$3,0,0,'Données projet'!$E$10+1,1))-AVERAGE(OFFSET($H$3,0,0,'Données projet'!$E$10+1,1))</f>
        <v>170.79567854714986</v>
      </c>
      <c r="AO51" s="60">
        <f t="shared" si="36"/>
        <v>155.92788004111191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7.6</v>
      </c>
      <c r="BD51" s="13">
        <f>IF('Données projet'!$A$88&gt;35,BD50+BC51-BL50,IF(A51&lt;'Données projet'!$A$88,$BA$205^A51,IF(A51='Données projet'!$A$88,'Données projet'!$B$88,BD50+BC51-BL50)))</f>
        <v>212.79999999999998</v>
      </c>
      <c r="BE51" s="14">
        <f>BD51*VLOOKUP('Données projet'!$B$11,Paramètres!$A$1:$I$89,3,0)*VLOOKUP('Données projet'!$B$11,Paramètres!$A$1:$I$89,5,0)</f>
        <v>172.62335999999999</v>
      </c>
      <c r="BF51" s="14">
        <f t="shared" si="37"/>
        <v>43.67704427998607</v>
      </c>
      <c r="BG51" s="22">
        <f t="shared" si="7"/>
        <v>376.72320412097571</v>
      </c>
      <c r="BH51" s="60">
        <f t="shared" si="8"/>
        <v>670.05653745430902</v>
      </c>
      <c r="BI51" s="60">
        <f ca="1">AVERAGE(OFFSET($BH$3,0,0,'Données projet'!$E$11+1,1))-AVERAGE(OFFSET($H$3,0,0,'Données projet'!$E$11+1,1))</f>
        <v>256.19915261735281</v>
      </c>
      <c r="BJ51" s="60">
        <f t="shared" si="38"/>
        <v>297.47246687305056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5.2564102564102537</v>
      </c>
      <c r="BY51" s="13">
        <f>IF('Données projet'!$A$114&gt;35,BY50+BX51-CG50,IF(A51&lt;'Données projet'!$A$114,$BV$205^A51,IF(A51='Données projet'!$A$114,'Données projet'!$B$114,BY50+BX51-CG50)))</f>
        <v>147.82051282051279</v>
      </c>
      <c r="BZ51" s="14">
        <f>BY51*VLOOKUP('Données projet'!$B$12,Paramètres!$A$1:$I$89,3,0)*VLOOKUP('Données projet'!$B$12,Paramètres!$A$1:$I$89,5,0)</f>
        <v>140.66599999999997</v>
      </c>
      <c r="CA51" s="14">
        <f t="shared" si="39"/>
        <v>36.449534575573686</v>
      </c>
      <c r="CB51" s="22">
        <f t="shared" si="10"/>
        <v>308.47622271912411</v>
      </c>
      <c r="CC51" s="60">
        <f t="shared" si="11"/>
        <v>601.80955605245742</v>
      </c>
      <c r="CD51" s="60">
        <f ca="1">AVERAGE(OFFSET($CC$3,0,0,'Données projet'!$E$12+1,1))-AVERAGE(OFFSET($H$3,0,0,'Données projet'!$E$12+1,1))</f>
        <v>353.53401919391234</v>
      </c>
      <c r="CE51" s="60">
        <f t="shared" si="40"/>
        <v>244.7141066773861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8.1999999999999993</v>
      </c>
      <c r="CT51" s="13">
        <f>IF('Données projet'!$A$140&gt;35,CT50+CS51-DB50,IF(A51&lt;'Données projet'!$A$140,$CQ$205^A51,IF(A51='Données projet'!$A$140,'Données projet'!$B$140,CT50+CS51-DB50)))</f>
        <v>161.60000000000002</v>
      </c>
      <c r="CU51" s="18">
        <f>CT51*VLOOKUP('Données projet'!$B$13,Paramètres!$A$1:$I$89,3,0)*VLOOKUP('Données projet'!$B$13,Paramètres!$A$1:$I$89,5,0)</f>
        <v>136.13184000000004</v>
      </c>
      <c r="CV51" s="14">
        <f t="shared" si="41"/>
        <v>35.40942452951419</v>
      </c>
      <c r="CW51" s="22">
        <f t="shared" si="13"/>
        <v>298.7677023889039</v>
      </c>
      <c r="CX51" s="60">
        <f t="shared" si="14"/>
        <v>592.10103572223716</v>
      </c>
      <c r="CY51" s="60">
        <f ca="1">AVERAGE(OFFSET($CX$3,0,0,'Données projet'!$E$13+1,1))-AVERAGE(OFFSET($H$3,0,0,'Données projet'!$E$13+1,1))</f>
        <v>403.33327536410098</v>
      </c>
      <c r="CZ51" s="60">
        <f t="shared" si="42"/>
        <v>218.26721063098552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7.1199999999999992</v>
      </c>
      <c r="DO51" s="13">
        <f>IF('Données projet'!$A$166&gt;35,DO50+DN51-DW50,IF(A51&lt;'Données projet'!$A$166,$DL$205^A51,IF(A51='Données projet'!$A$166,'Données projet'!$B$166,DO50+DN51-DW50)))</f>
        <v>204.16000000000008</v>
      </c>
      <c r="DP51" s="18">
        <f>DO51*VLOOKUP('Données projet'!$B$14,Paramètres!$A$1:$I$89,3,0)*VLOOKUP('Données projet'!$B$14,Paramètres!$A$1:$I$89,5,0)</f>
        <v>162.42969600000006</v>
      </c>
      <c r="DQ51" s="14">
        <f t="shared" si="43"/>
        <v>41.390058491575033</v>
      </c>
      <c r="DR51" s="22">
        <f t="shared" si="16"/>
        <v>354.98607240615996</v>
      </c>
      <c r="DS51" s="60">
        <f t="shared" si="17"/>
        <v>648.31940573949328</v>
      </c>
      <c r="DT51" s="60">
        <f ca="1">AVERAGE(OFFSET($DS$3,0,0,'Données projet'!$E$14+1,1))-AVERAGE(OFFSET($H$3,0,0,'Données projet'!$E$14+1,1))</f>
        <v>317.13087551964747</v>
      </c>
      <c r="DU51" s="60">
        <f t="shared" si="44"/>
        <v>293.43300041793185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5.580000000000001</v>
      </c>
      <c r="EJ51" s="13">
        <f>IF('Données projet'!$A$192&gt;35,EJ50+EI51-ER50,IF(A51&lt;'Données projet'!$A$192,$EG$205^A51,IF(A51='Données projet'!$A$192,'Données projet'!$B$192,EJ50+EI51-ER50)))</f>
        <v>163.04000000000019</v>
      </c>
      <c r="EK51" s="18">
        <f>EJ51*VLOOKUP('Données projet'!$B$15,Paramètres!$A$1:$I$89,3,0)*VLOOKUP('Données projet'!$B$15,Paramètres!$A$1:$I$89,5,0)</f>
        <v>129.71462400000016</v>
      </c>
      <c r="EL51" s="14">
        <f t="shared" si="45"/>
        <v>33.930408885911085</v>
      </c>
      <c r="EM51" s="22">
        <f t="shared" si="19"/>
        <v>285.01509894296203</v>
      </c>
      <c r="EN51" s="60">
        <f t="shared" si="20"/>
        <v>578.3484322762954</v>
      </c>
      <c r="EO51" s="60">
        <f ca="1">AVERAGE(OFFSET($EN$3,0,0,'Données projet'!$E$15+1,1))-AVERAGE(OFFSET($H$3,0,0,'Données projet'!$E$15+1,1))</f>
        <v>253.03289960511904</v>
      </c>
      <c r="EP51" s="60">
        <f t="shared" si="46"/>
        <v>236.85088713056018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5.580000000000001</v>
      </c>
      <c r="FE51" s="13">
        <f>IF('Données projet'!$A$218&gt;35,FE50+FD51-FM50,IF(A51&lt;'Données projet'!$A$218,$FB$205^A51,IF(A51='Données projet'!$A$218,'Données projet'!$B$218,FE50+FD51-FM50)))</f>
        <v>163.04000000000019</v>
      </c>
      <c r="FF51" s="18">
        <f>FE51*VLOOKUP('Données projet'!$B$16,Paramètres!$A$1:$I$89,3,0)*VLOOKUP('Données projet'!$B$16,Paramètres!$A$1:$I$89,5,0)</f>
        <v>142.43174400000018</v>
      </c>
      <c r="FG51" s="14">
        <f t="shared" si="47"/>
        <v>36.853524348246673</v>
      </c>
      <c r="FH51" s="22">
        <f t="shared" si="22"/>
        <v>312.25517570652994</v>
      </c>
      <c r="FI51" s="60">
        <f t="shared" si="23"/>
        <v>605.58850903986331</v>
      </c>
      <c r="FJ51" s="60">
        <f ca="1">AVERAGE(OFFSET($FI$3,0,0,'Données projet'!$E$16+1,1))-AVERAGE(OFFSET($H$3,0,0,'Données projet'!$E$16+1,1))</f>
        <v>274.38315511766132</v>
      </c>
      <c r="FK51" s="60">
        <f t="shared" si="48"/>
        <v>255.96663040027175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>
        <f>VLOOKUP(A51,'Données projet'!$A$243:$I$263,2,0)</f>
        <v>240</v>
      </c>
      <c r="FX51" s="13">
        <f>VLOOKUP(A51,'Données projet'!$A$243:$I$263,9,0)</f>
        <v>15.666666666666666</v>
      </c>
      <c r="FY51" s="13">
        <f t="array" ref="FY51">INDEX(FX:FX,MIN(IF(ISNUMBER(FX51:FX247),ROW(FX51:FX247),"")))</f>
        <v>15.666666666666666</v>
      </c>
      <c r="FZ51" s="13">
        <f>IF('Données projet'!$A$244&gt;35,FZ50+FY51-GH50,IF(A51&lt;'Données projet'!$A$244,$FW$205^A51,IF(A51='Données projet'!$A$244,'Données projet'!$B$244,FZ50+FY51-GH50)))</f>
        <v>239.99999999999986</v>
      </c>
      <c r="GA51" s="18">
        <f>FZ51*VLOOKUP('Données projet'!$B$17,Paramètres!$A$1:$I$89,3,0)*VLOOKUP('Données projet'!$B$17,Paramètres!$A$1:$I$89,5,0)</f>
        <v>205.91999999999993</v>
      </c>
      <c r="GB51" s="14">
        <f t="shared" si="49"/>
        <v>51.042987531485686</v>
      </c>
      <c r="GC51" s="22">
        <f t="shared" si="25"/>
        <v>447.5438699506708</v>
      </c>
      <c r="GD51" s="60">
        <f t="shared" si="26"/>
        <v>740.87720328400405</v>
      </c>
      <c r="GE51" s="60">
        <f ca="1">AVERAGE(OFFSET($GD$3,0,0,'Données projet'!$E$17+1,1))-AVERAGE(OFFSET($H$3,0,0,'Données projet'!$E$17+1,1))</f>
        <v>445.81166342116865</v>
      </c>
      <c r="GF51" s="60">
        <f t="shared" si="50"/>
        <v>230.82970731138215</v>
      </c>
      <c r="GG51" s="16">
        <f>IF(ISNA(VLOOKUP(A51,'Données projet'!$A$243:$I$263,3,0)),0,VLOOKUP(A51,'Données projet'!$A$243:$I$263,3,0))</f>
        <v>5</v>
      </c>
      <c r="GH51" s="16">
        <f>IF(ISNA(VLOOKUP(A51,'Données projet'!$A$243:$I$263,4,0)),0,VLOOKUP(A51,'Données projet'!$A$243:$I$263,4,0))</f>
        <v>63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10.375</v>
      </c>
      <c r="GU51" s="13">
        <f>IF('Données projet'!$A$270&gt;35,GU50+GT51-HC50,IF(A51&lt;'Données projet'!$A$270,$GR$205^A51,IF(A51='Données projet'!$A$270,'Données projet'!$B$270,GU50+GT51-HC50)))</f>
        <v>228.49999999999991</v>
      </c>
      <c r="GV51" s="18">
        <f>GU51*VLOOKUP('Données projet'!$B$18,Paramètres!$A$1:$I$89,3,0)*VLOOKUP('Données projet'!$B$18,Paramètres!$A$1:$I$89,5,0)</f>
        <v>178.22999999999993</v>
      </c>
      <c r="GW51" s="14">
        <f t="shared" si="51"/>
        <v>44.928167580487852</v>
      </c>
      <c r="GX51" s="22">
        <f t="shared" si="28"/>
        <v>388.66714186934951</v>
      </c>
      <c r="GY51" s="60">
        <f t="shared" si="29"/>
        <v>682.00047520268276</v>
      </c>
      <c r="GZ51" s="60">
        <f ca="1">AVERAGE(OFFSET($GY$3,0,0,'Données projet'!$E$18+1,1))-AVERAGE(OFFSET($H$3,0,0,'Données projet'!$E$18+1,1))</f>
        <v>289.19475369871481</v>
      </c>
      <c r="HA51" s="60">
        <f t="shared" si="52"/>
        <v>283.48738729114024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projet'!$B$18,Paramètres!$A$1:$I$89,3,0)*0.475*44/12</f>
        <v>0</v>
      </c>
      <c r="HH51" s="23">
        <f>EXP(-LN(2)/25)*HH50+(1-EXP(-LN(2)/25))/(LN(2)/25)*Calculateur!HC51*Calculateur!HE51*VLOOKUP('Données projet'!$B$18,Paramètres!$A$1:$I$89,3,0)*0.475*44/12</f>
        <v>0</v>
      </c>
      <c r="HI51" s="23">
        <f>EXP(-LN(2)/2)*HI50+(1-EXP(-LN(2)/2))/(LN(2)/2)*HC51*HF51*VLOOKUP('Données projet'!$B$18,Paramètres!$A$1:$I$89,3,0)*0.475*44/12</f>
        <v>0</v>
      </c>
      <c r="HJ51" s="24">
        <f t="shared" si="30"/>
        <v>0</v>
      </c>
    </row>
    <row r="52" spans="1:218" s="5" customFormat="1" x14ac:dyDescent="0.3">
      <c r="A52" s="11">
        <f t="shared" si="31"/>
        <v>49</v>
      </c>
      <c r="B52" s="75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8">
        <f t="shared" si="1"/>
        <v>256.66666666666669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169.8</v>
      </c>
      <c r="O52" s="14">
        <f>N52*VLOOKUP('Données projet'!$B$9,Paramètres!$A$1:$I$89,3,0)*VLOOKUP('Données projet'!$B$9,Paramètres!$A$1:$I$89,5,0)</f>
        <v>164.23056000000003</v>
      </c>
      <c r="P52" s="14">
        <f t="shared" si="33"/>
        <v>41.795275864636551</v>
      </c>
      <c r="Q52" s="22">
        <f t="shared" si="53"/>
        <v>358.82833079757535</v>
      </c>
      <c r="R52" s="60">
        <f t="shared" si="0"/>
        <v>652.16166413090866</v>
      </c>
      <c r="S52" s="60">
        <f ca="1">AVERAGE(OFFSET($R$3,0,0,'Données projet'!$E$9+1,1))-AVERAGE(OFFSET($H$3,0,0,'Données projet'!$E$9+1,1))</f>
        <v>456.86147223520601</v>
      </c>
      <c r="T52" s="60">
        <f t="shared" si="34"/>
        <v>244.45149244446094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2.5</v>
      </c>
      <c r="AI52" s="14">
        <f>IF('Données projet'!$A$62&gt;35,AI51+AH52-AQ51,IF(A52&lt;'Données projet'!$A$62,$AF$205^A52,IF(A52='Données projet'!$A$62,'Données projet'!$B$62,AI51+AH52-AQ51)))</f>
        <v>135.50000000000003</v>
      </c>
      <c r="AJ52" s="14">
        <f>AI52*VLOOKUP('Données projet'!$B$10,Paramètres!$A$1:$I$89,3,0)*VLOOKUP('Données projet'!$B$10,Paramètres!$A$1:$I$89,5,0)</f>
        <v>88.779600000000016</v>
      </c>
      <c r="AK52" s="14">
        <f t="shared" si="35"/>
        <v>24.270660436720163</v>
      </c>
      <c r="AL52" s="22">
        <f t="shared" si="4"/>
        <v>196.89587026062097</v>
      </c>
      <c r="AM52" s="60">
        <f t="shared" si="5"/>
        <v>490.22920359395425</v>
      </c>
      <c r="AN52" s="60">
        <f ca="1">AVERAGE(OFFSET($AM$3,0,0,'Données projet'!$E$10+1,1))-AVERAGE(OFFSET($H$3,0,0,'Données projet'!$E$10+1,1))</f>
        <v>170.79567854714986</v>
      </c>
      <c r="AO52" s="60">
        <f t="shared" si="36"/>
        <v>155.92788004111191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7.6</v>
      </c>
      <c r="BD52" s="13">
        <f>IF('Données projet'!$A$88&gt;35,BD51+BC52-BL51,IF(A52&lt;'Données projet'!$A$88,$BA$205^A52,IF(A52='Données projet'!$A$88,'Données projet'!$B$88,BD51+BC52-BL51)))</f>
        <v>220.39999999999998</v>
      </c>
      <c r="BE52" s="14">
        <f>BD52*VLOOKUP('Données projet'!$B$11,Paramètres!$A$1:$I$89,3,0)*VLOOKUP('Données projet'!$B$11,Paramètres!$A$1:$I$89,5,0)</f>
        <v>178.78847999999999</v>
      </c>
      <c r="BF52" s="14">
        <f t="shared" si="37"/>
        <v>45.052539436241446</v>
      </c>
      <c r="BG52" s="22">
        <f t="shared" si="7"/>
        <v>389.85644218478711</v>
      </c>
      <c r="BH52" s="60">
        <f t="shared" si="8"/>
        <v>683.18977551812043</v>
      </c>
      <c r="BI52" s="60">
        <f ca="1">AVERAGE(OFFSET($BH$3,0,0,'Données projet'!$E$11+1,1))-AVERAGE(OFFSET($H$3,0,0,'Données projet'!$E$11+1,1))</f>
        <v>256.19915261735281</v>
      </c>
      <c r="BJ52" s="60">
        <f t="shared" si="38"/>
        <v>297.47246687305056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5.2564102564102537</v>
      </c>
      <c r="BY52" s="13">
        <f>IF('Données projet'!$A$114&gt;35,BY51+BX52-CG51,IF(A52&lt;'Données projet'!$A$114,$BV$205^A52,IF(A52='Données projet'!$A$114,'Données projet'!$B$114,BY51+BX52-CG51)))</f>
        <v>153.07692307692304</v>
      </c>
      <c r="BZ52" s="14">
        <f>BY52*VLOOKUP('Données projet'!$B$12,Paramètres!$A$1:$I$89,3,0)*VLOOKUP('Données projet'!$B$12,Paramètres!$A$1:$I$89,5,0)</f>
        <v>145.66799999999995</v>
      </c>
      <c r="CA52" s="14">
        <f t="shared" si="39"/>
        <v>37.592450315522605</v>
      </c>
      <c r="CB52" s="22">
        <f t="shared" si="10"/>
        <v>319.17861763286845</v>
      </c>
      <c r="CC52" s="60">
        <f t="shared" si="11"/>
        <v>612.51195096620177</v>
      </c>
      <c r="CD52" s="60">
        <f ca="1">AVERAGE(OFFSET($CC$3,0,0,'Données projet'!$E$12+1,1))-AVERAGE(OFFSET($H$3,0,0,'Données projet'!$E$12+1,1))</f>
        <v>353.53401919391234</v>
      </c>
      <c r="CE52" s="60">
        <f t="shared" si="40"/>
        <v>244.7141066773861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8.1999999999999993</v>
      </c>
      <c r="CT52" s="13">
        <f>IF('Données projet'!$A$140&gt;35,CT51+CS52-DB51,IF(A52&lt;'Données projet'!$A$140,$CQ$205^A52,IF(A52='Données projet'!$A$140,'Données projet'!$B$140,CT51+CS52-DB51)))</f>
        <v>169.8</v>
      </c>
      <c r="CU52" s="18">
        <f>CT52*VLOOKUP('Données projet'!$B$13,Paramètres!$A$1:$I$89,3,0)*VLOOKUP('Données projet'!$B$13,Paramètres!$A$1:$I$89,5,0)</f>
        <v>143.03952000000001</v>
      </c>
      <c r="CV52" s="14">
        <f t="shared" si="41"/>
        <v>36.992444033168439</v>
      </c>
      <c r="CW52" s="22">
        <f t="shared" si="13"/>
        <v>313.55567069110168</v>
      </c>
      <c r="CX52" s="60">
        <f t="shared" si="14"/>
        <v>606.88900402443505</v>
      </c>
      <c r="CY52" s="60">
        <f ca="1">AVERAGE(OFFSET($CX$3,0,0,'Données projet'!$E$13+1,1))-AVERAGE(OFFSET($H$3,0,0,'Données projet'!$E$13+1,1))</f>
        <v>403.33327536410098</v>
      </c>
      <c r="CZ52" s="60">
        <f t="shared" si="42"/>
        <v>218.26721063098552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7.1199999999999992</v>
      </c>
      <c r="DO52" s="13">
        <f>IF('Données projet'!$A$166&gt;35,DO51+DN52-DW51,IF(A52&lt;'Données projet'!$A$166,$DL$205^A52,IF(A52='Données projet'!$A$166,'Données projet'!$B$166,DO51+DN52-DW51)))</f>
        <v>211.28000000000009</v>
      </c>
      <c r="DP52" s="18">
        <f>DO52*VLOOKUP('Données projet'!$B$14,Paramètres!$A$1:$I$89,3,0)*VLOOKUP('Données projet'!$B$14,Paramètres!$A$1:$I$89,5,0)</f>
        <v>168.09436800000009</v>
      </c>
      <c r="DQ52" s="14">
        <f t="shared" si="43"/>
        <v>42.662945798359054</v>
      </c>
      <c r="DR52" s="22">
        <f t="shared" si="16"/>
        <v>367.06898819880888</v>
      </c>
      <c r="DS52" s="60">
        <f t="shared" si="17"/>
        <v>660.4023215321422</v>
      </c>
      <c r="DT52" s="60">
        <f ca="1">AVERAGE(OFFSET($DS$3,0,0,'Données projet'!$E$14+1,1))-AVERAGE(OFFSET($H$3,0,0,'Données projet'!$E$14+1,1))</f>
        <v>317.13087551964747</v>
      </c>
      <c r="DU52" s="60">
        <f t="shared" si="44"/>
        <v>293.43300041793185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5.580000000000001</v>
      </c>
      <c r="EJ52" s="13">
        <f>IF('Données projet'!$A$192&gt;35,EJ51+EI52-ER51,IF(A52&lt;'Données projet'!$A$192,$EG$205^A52,IF(A52='Données projet'!$A$192,'Données projet'!$B$192,EJ51+EI52-ER51)))</f>
        <v>168.6200000000002</v>
      </c>
      <c r="EK52" s="18">
        <f>EJ52*VLOOKUP('Données projet'!$B$15,Paramètres!$A$1:$I$89,3,0)*VLOOKUP('Données projet'!$B$15,Paramètres!$A$1:$I$89,5,0)</f>
        <v>134.15407200000016</v>
      </c>
      <c r="EL52" s="14">
        <f t="shared" si="45"/>
        <v>34.954479140088715</v>
      </c>
      <c r="EM52" s="22">
        <f t="shared" si="19"/>
        <v>294.53072656898814</v>
      </c>
      <c r="EN52" s="60">
        <f t="shared" si="20"/>
        <v>587.86405990232151</v>
      </c>
      <c r="EO52" s="60">
        <f ca="1">AVERAGE(OFFSET($EN$3,0,0,'Données projet'!$E$15+1,1))-AVERAGE(OFFSET($H$3,0,0,'Données projet'!$E$15+1,1))</f>
        <v>253.03289960511904</v>
      </c>
      <c r="EP52" s="60">
        <f t="shared" si="46"/>
        <v>236.85088713056018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5.580000000000001</v>
      </c>
      <c r="FE52" s="13">
        <f>IF('Données projet'!$A$218&gt;35,FE51+FD52-FM51,IF(A52&lt;'Données projet'!$A$218,$FB$205^A52,IF(A52='Données projet'!$A$218,'Données projet'!$B$218,FE51+FD52-FM51)))</f>
        <v>168.6200000000002</v>
      </c>
      <c r="FF52" s="18">
        <f>FE52*VLOOKUP('Données projet'!$B$16,Paramètres!$A$1:$I$89,3,0)*VLOOKUP('Données projet'!$B$16,Paramètres!$A$1:$I$89,5,0)</f>
        <v>147.3064320000002</v>
      </c>
      <c r="FG52" s="14">
        <f t="shared" si="47"/>
        <v>37.965818578874774</v>
      </c>
      <c r="FH52" s="22">
        <f t="shared" si="22"/>
        <v>322.68250309154058</v>
      </c>
      <c r="FI52" s="60">
        <f t="shared" si="23"/>
        <v>616.0158364248739</v>
      </c>
      <c r="FJ52" s="60">
        <f ca="1">AVERAGE(OFFSET($FI$3,0,0,'Données projet'!$E$16+1,1))-AVERAGE(OFFSET($H$3,0,0,'Données projet'!$E$16+1,1))</f>
        <v>274.38315511766132</v>
      </c>
      <c r="FK52" s="60">
        <f t="shared" si="48"/>
        <v>255.96663040027175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15.5</v>
      </c>
      <c r="FZ52" s="13">
        <f>IF('Données projet'!$A$244&gt;35,FZ51+FY52-GH51,IF(A52&lt;'Données projet'!$A$244,$FW$205^A52,IF(A52='Données projet'!$A$244,'Données projet'!$B$244,FZ51+FY52-GH51)))</f>
        <v>192.49999999999986</v>
      </c>
      <c r="GA52" s="18">
        <f>FZ52*VLOOKUP('Données projet'!$B$17,Paramètres!$A$1:$I$89,3,0)*VLOOKUP('Données projet'!$B$17,Paramètres!$A$1:$I$89,5,0)</f>
        <v>165.16499999999991</v>
      </c>
      <c r="GB52" s="14">
        <f t="shared" si="49"/>
        <v>42.00533269839395</v>
      </c>
      <c r="GC52" s="22">
        <f t="shared" si="25"/>
        <v>360.82166278303589</v>
      </c>
      <c r="GD52" s="60">
        <f t="shared" si="26"/>
        <v>654.15499611636915</v>
      </c>
      <c r="GE52" s="60">
        <f ca="1">AVERAGE(OFFSET($GD$3,0,0,'Données projet'!$E$17+1,1))-AVERAGE(OFFSET($H$3,0,0,'Données projet'!$E$17+1,1))</f>
        <v>445.81166342116865</v>
      </c>
      <c r="GF52" s="60">
        <f t="shared" si="50"/>
        <v>230.82970731138215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10.375</v>
      </c>
      <c r="GU52" s="13">
        <f>IF('Données projet'!$A$270&gt;35,GU51+GT52-HC51,IF(A52&lt;'Données projet'!$A$270,$GR$205^A52,IF(A52='Données projet'!$A$270,'Données projet'!$B$270,GU51+GT52-HC51)))</f>
        <v>238.87499999999991</v>
      </c>
      <c r="GV52" s="18">
        <f>GU52*VLOOKUP('Données projet'!$B$18,Paramètres!$A$1:$I$89,3,0)*VLOOKUP('Données projet'!$B$18,Paramètres!$A$1:$I$89,5,0)</f>
        <v>186.32249999999993</v>
      </c>
      <c r="GW52" s="14">
        <f t="shared" si="51"/>
        <v>46.725987276254116</v>
      </c>
      <c r="GX52" s="22">
        <f t="shared" si="28"/>
        <v>405.8927820061424</v>
      </c>
      <c r="GY52" s="60">
        <f t="shared" si="29"/>
        <v>699.22611533947565</v>
      </c>
      <c r="GZ52" s="60">
        <f ca="1">AVERAGE(OFFSET($GY$3,0,0,'Données projet'!$E$18+1,1))-AVERAGE(OFFSET($H$3,0,0,'Données projet'!$E$18+1,1))</f>
        <v>289.19475369871481</v>
      </c>
      <c r="HA52" s="60">
        <f t="shared" si="52"/>
        <v>283.48738729114024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projet'!$B$18,Paramètres!$A$1:$I$89,3,0)*0.475*44/12</f>
        <v>0</v>
      </c>
      <c r="HH52" s="23">
        <f>EXP(-LN(2)/25)*HH51+(1-EXP(-LN(2)/25))/(LN(2)/25)*Calculateur!HC52*Calculateur!HE52*VLOOKUP('Données projet'!$B$18,Paramètres!$A$1:$I$89,3,0)*0.475*44/12</f>
        <v>0</v>
      </c>
      <c r="HI52" s="23">
        <f>EXP(-LN(2)/2)*HI51+(1-EXP(-LN(2)/2))/(LN(2)/2)*HC52*HF52*VLOOKUP('Données projet'!$B$18,Paramètres!$A$1:$I$89,3,0)*0.475*44/12</f>
        <v>0</v>
      </c>
      <c r="HJ52" s="24">
        <f t="shared" si="30"/>
        <v>0</v>
      </c>
    </row>
    <row r="53" spans="1:218" s="5" customFormat="1" x14ac:dyDescent="0.3">
      <c r="A53" s="11">
        <f t="shared" si="31"/>
        <v>50</v>
      </c>
      <c r="B53" s="75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8">
        <f t="shared" si="1"/>
        <v>256.66666666666669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178</v>
      </c>
      <c r="O53" s="14">
        <f>N53*VLOOKUP('Données projet'!$B$9,Paramètres!$A$1:$I$89,3,0)*VLOOKUP('Données projet'!$B$9,Paramètres!$A$1:$I$89,5,0)</f>
        <v>172.16159999999999</v>
      </c>
      <c r="P53" s="14">
        <f t="shared" si="33"/>
        <v>43.57379349403616</v>
      </c>
      <c r="Q53" s="22">
        <f t="shared" si="53"/>
        <v>375.7391436687796</v>
      </c>
      <c r="R53" s="60">
        <f t="shared" si="0"/>
        <v>669.07247700211292</v>
      </c>
      <c r="S53" s="60">
        <f ca="1">AVERAGE(OFFSET($R$3,0,0,'Données projet'!$E$9+1,1))-AVERAGE(OFFSET($H$3,0,0,'Données projet'!$E$9+1,1))</f>
        <v>456.86147223520601</v>
      </c>
      <c r="T53" s="60">
        <f t="shared" si="34"/>
        <v>244.45149244446094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138</v>
      </c>
      <c r="AG53" s="13">
        <f>VLOOKUP(A53,'Données projet'!$A$61:$I$81,9,0)</f>
        <v>2.5</v>
      </c>
      <c r="AH53" s="13">
        <f t="array" ref="AH53">INDEX(AG:AG,MIN(IF(ISNUMBER(AG53:AG249),ROW(AG53:AG249),"")))</f>
        <v>2.5</v>
      </c>
      <c r="AI53" s="14">
        <f>IF('Données projet'!$A$62&gt;35,AI52+AH53-AQ52,IF(A53&lt;'Données projet'!$A$62,$AF$205^A53,IF(A53='Données projet'!$A$62,'Données projet'!$B$62,AI52+AH53-AQ52)))</f>
        <v>138.00000000000003</v>
      </c>
      <c r="AJ53" s="14">
        <f>AI53*VLOOKUP('Données projet'!$B$10,Paramètres!$A$1:$I$89,3,0)*VLOOKUP('Données projet'!$B$10,Paramètres!$A$1:$I$89,5,0)</f>
        <v>90.417600000000022</v>
      </c>
      <c r="AK53" s="14">
        <f t="shared" si="35"/>
        <v>24.665912907068826</v>
      </c>
      <c r="AL53" s="22">
        <f t="shared" si="4"/>
        <v>200.43711831314491</v>
      </c>
      <c r="AM53" s="60">
        <f t="shared" si="5"/>
        <v>493.77045164647825</v>
      </c>
      <c r="AN53" s="60">
        <f ca="1">AVERAGE(OFFSET($AM$3,0,0,'Données projet'!$E$10+1,1))-AVERAGE(OFFSET($H$3,0,0,'Données projet'!$E$10+1,1))</f>
        <v>170.79567854714986</v>
      </c>
      <c r="AO53" s="60">
        <f t="shared" si="36"/>
        <v>155.92788004111191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228</v>
      </c>
      <c r="BB53" s="13">
        <f>VLOOKUP(A53,'Données projet'!$A$87:$I$107,9,0)</f>
        <v>7.6</v>
      </c>
      <c r="BC53" s="13">
        <f t="array" ref="BC53">INDEX(BB:BB,MIN(IF(ISNUMBER(BB53:BB249),ROW(BB53:BB249),"")))</f>
        <v>7.6</v>
      </c>
      <c r="BD53" s="13">
        <f>IF('Données projet'!$A$88&gt;35,BD52+BC53-BL52,IF(A53&lt;'Données projet'!$A$88,$BA$205^A53,IF(A53='Données projet'!$A$88,'Données projet'!$B$88,BD52+BC53-BL52)))</f>
        <v>227.99999999999997</v>
      </c>
      <c r="BE53" s="14">
        <f>BD53*VLOOKUP('Données projet'!$B$11,Paramètres!$A$1:$I$89,3,0)*VLOOKUP('Données projet'!$B$11,Paramètres!$A$1:$I$89,5,0)</f>
        <v>184.95359999999999</v>
      </c>
      <c r="BF53" s="14">
        <f t="shared" si="37"/>
        <v>46.42252355095799</v>
      </c>
      <c r="BG53" s="22">
        <f t="shared" si="7"/>
        <v>402.98008185125178</v>
      </c>
      <c r="BH53" s="60">
        <f t="shared" si="8"/>
        <v>696.3134151845851</v>
      </c>
      <c r="BI53" s="60">
        <f ca="1">AVERAGE(OFFSET($BH$3,0,0,'Données projet'!$E$11+1,1))-AVERAGE(OFFSET($H$3,0,0,'Données projet'!$E$11+1,1))</f>
        <v>256.19915261735281</v>
      </c>
      <c r="BJ53" s="60">
        <f t="shared" si="38"/>
        <v>297.47246687305056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158.33333333333331</v>
      </c>
      <c r="BW53" s="13">
        <f>VLOOKUP(A53,'Données projet'!$A$113:$I$133,9,0)</f>
        <v>5.2564102564102537</v>
      </c>
      <c r="BX53" s="13">
        <f t="array" ref="BX53">INDEX(BW:BW,MIN(IF(ISNUMBER(BW53:BW249),ROW(BW53:BW249),"")))</f>
        <v>5.2564102564102537</v>
      </c>
      <c r="BY53" s="13">
        <f>IF('Données projet'!$A$114&gt;35,BY52+BX53-CG52,IF(A53&lt;'Données projet'!$A$114,$BV$205^A53,IF(A53='Données projet'!$A$114,'Données projet'!$B$114,BY52+BX53-CG52)))</f>
        <v>158.33333333333329</v>
      </c>
      <c r="BZ53" s="14">
        <f>BY53*VLOOKUP('Données projet'!$B$12,Paramètres!$A$1:$I$89,3,0)*VLOOKUP('Données projet'!$B$12,Paramètres!$A$1:$I$89,5,0)</f>
        <v>150.66999999999996</v>
      </c>
      <c r="CA53" s="14">
        <f t="shared" si="39"/>
        <v>38.730806009209921</v>
      </c>
      <c r="CB53" s="22">
        <f t="shared" si="10"/>
        <v>329.87307046604047</v>
      </c>
      <c r="CC53" s="60">
        <f t="shared" si="11"/>
        <v>623.20640379937379</v>
      </c>
      <c r="CD53" s="60">
        <f ca="1">AVERAGE(OFFSET($CC$3,0,0,'Données projet'!$E$12+1,1))-AVERAGE(OFFSET($H$3,0,0,'Données projet'!$E$12+1,1))</f>
        <v>353.53401919391234</v>
      </c>
      <c r="CE53" s="60">
        <f t="shared" si="40"/>
        <v>244.7141066773861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178</v>
      </c>
      <c r="CR53" s="13">
        <f>VLOOKUP(A53,'Données projet'!$A$139:$I$159,9,0)</f>
        <v>8.1999999999999993</v>
      </c>
      <c r="CS53" s="13">
        <f t="array" ref="CS53">INDEX(CR:CR,MIN(IF(ISNUMBER(CR53:CR249),ROW(CR53:CR249),"")))</f>
        <v>8.1999999999999993</v>
      </c>
      <c r="CT53" s="13">
        <f>IF('Données projet'!$A$140&gt;35,CT52+CS53-DB52,IF(A53&lt;'Données projet'!$A$140,$CQ$205^A53,IF(A53='Données projet'!$A$140,'Données projet'!$B$140,CT52+CS53-DB52)))</f>
        <v>178</v>
      </c>
      <c r="CU53" s="18">
        <f>CT53*VLOOKUP('Données projet'!$B$13,Paramètres!$A$1:$I$89,3,0)*VLOOKUP('Données projet'!$B$13,Paramètres!$A$1:$I$89,5,0)</f>
        <v>149.94720000000001</v>
      </c>
      <c r="CV53" s="14">
        <f t="shared" si="41"/>
        <v>38.566586385539779</v>
      </c>
      <c r="CW53" s="22">
        <f t="shared" si="13"/>
        <v>328.32817795481515</v>
      </c>
      <c r="CX53" s="60">
        <f t="shared" si="14"/>
        <v>621.6615112881484</v>
      </c>
      <c r="CY53" s="60">
        <f ca="1">AVERAGE(OFFSET($CX$3,0,0,'Données projet'!$E$13+1,1))-AVERAGE(OFFSET($H$3,0,0,'Données projet'!$E$13+1,1))</f>
        <v>403.33327536410098</v>
      </c>
      <c r="CZ53" s="60">
        <f t="shared" si="42"/>
        <v>218.26721063098552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218.4</v>
      </c>
      <c r="DM53" s="13">
        <f>VLOOKUP(A53,'Données projet'!$A$165:$I$185,9,0)</f>
        <v>7.1199999999999992</v>
      </c>
      <c r="DN53" s="13">
        <f t="array" ref="DN53">INDEX(DM:DM,MIN(IF(ISNUMBER(DM53:DM249),ROW(DM53:DM249),"")))</f>
        <v>7.1199999999999992</v>
      </c>
      <c r="DO53" s="13">
        <f>IF('Données projet'!$A$166&gt;35,DO52+DN53-DW52,IF(A53&lt;'Données projet'!$A$166,$DL$205^A53,IF(A53='Données projet'!$A$166,'Données projet'!$B$166,DO52+DN53-DW52)))</f>
        <v>218.40000000000009</v>
      </c>
      <c r="DP53" s="18">
        <f>DO53*VLOOKUP('Données projet'!$B$14,Paramètres!$A$1:$I$89,3,0)*VLOOKUP('Données projet'!$B$14,Paramètres!$A$1:$I$89,5,0)</f>
        <v>173.75904000000008</v>
      </c>
      <c r="DQ53" s="14">
        <f t="shared" si="43"/>
        <v>43.93084885437942</v>
      </c>
      <c r="DR53" s="22">
        <f t="shared" si="16"/>
        <v>379.14322308804429</v>
      </c>
      <c r="DS53" s="60">
        <f t="shared" si="17"/>
        <v>672.47655642137761</v>
      </c>
      <c r="DT53" s="60">
        <f ca="1">AVERAGE(OFFSET($DS$3,0,0,'Données projet'!$E$14+1,1))-AVERAGE(OFFSET($H$3,0,0,'Données projet'!$E$14+1,1))</f>
        <v>317.13087551964747</v>
      </c>
      <c r="DU53" s="60">
        <f t="shared" si="44"/>
        <v>293.43300041793185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174.20000000000002</v>
      </c>
      <c r="EH53" s="13">
        <f>VLOOKUP(A53,'Données projet'!$A$191:$I$211,9,0)</f>
        <v>5.580000000000001</v>
      </c>
      <c r="EI53" s="13">
        <f t="array" ref="EI53">INDEX(EH:EH,MIN(IF(ISNUMBER(EH53:EH249),ROW(EH53:EH249),"")))</f>
        <v>5.580000000000001</v>
      </c>
      <c r="EJ53" s="13">
        <f>IF('Données projet'!$A$192&gt;35,EJ52+EI53-ER52,IF(A53&lt;'Données projet'!$A$192,$EG$205^A53,IF(A53='Données projet'!$A$192,'Données projet'!$B$192,EJ52+EI53-ER52)))</f>
        <v>174.20000000000022</v>
      </c>
      <c r="EK53" s="18">
        <f>EJ53*VLOOKUP('Données projet'!$B$15,Paramètres!$A$1:$I$89,3,0)*VLOOKUP('Données projet'!$B$15,Paramètres!$A$1:$I$89,5,0)</f>
        <v>138.59352000000018</v>
      </c>
      <c r="EL53" s="14">
        <f t="shared" si="45"/>
        <v>35.974611578202314</v>
      </c>
      <c r="EM53" s="22">
        <f t="shared" si="19"/>
        <v>304.03949583203604</v>
      </c>
      <c r="EN53" s="60">
        <f t="shared" si="20"/>
        <v>597.37282916536935</v>
      </c>
      <c r="EO53" s="60">
        <f ca="1">AVERAGE(OFFSET($EN$3,0,0,'Données projet'!$E$15+1,1))-AVERAGE(OFFSET($H$3,0,0,'Données projet'!$E$15+1,1))</f>
        <v>253.03289960511904</v>
      </c>
      <c r="EP53" s="60">
        <f t="shared" si="46"/>
        <v>236.85088713056018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174.20000000000002</v>
      </c>
      <c r="FC53" s="13">
        <f>VLOOKUP(A53,'Données projet'!$A$217:$I$237,9,0)</f>
        <v>5.580000000000001</v>
      </c>
      <c r="FD53" s="13">
        <f t="array" ref="FD53">INDEX(FC:FC,MIN(IF(ISNUMBER(FC53:FC249),ROW(FC53:FC249),"")))</f>
        <v>5.580000000000001</v>
      </c>
      <c r="FE53" s="13">
        <f>IF('Données projet'!$A$218&gt;35,FE52+FD53-FM52,IF(A53&lt;'Données projet'!$A$218,$FB$205^A53,IF(A53='Données projet'!$A$218,'Données projet'!$B$218,FE52+FD53-FM52)))</f>
        <v>174.20000000000022</v>
      </c>
      <c r="FF53" s="18">
        <f>FE53*VLOOKUP('Données projet'!$B$16,Paramètres!$A$1:$I$89,3,0)*VLOOKUP('Données projet'!$B$16,Paramètres!$A$1:$I$89,5,0)</f>
        <v>152.18112000000022</v>
      </c>
      <c r="FG53" s="14">
        <f t="shared" si="47"/>
        <v>39.073835749338805</v>
      </c>
      <c r="FH53" s="22">
        <f t="shared" si="22"/>
        <v>333.10238126343216</v>
      </c>
      <c r="FI53" s="60">
        <f t="shared" si="23"/>
        <v>626.43571459676548</v>
      </c>
      <c r="FJ53" s="60">
        <f ca="1">AVERAGE(OFFSET($FI$3,0,0,'Données projet'!$E$16+1,1))-AVERAGE(OFFSET($H$3,0,0,'Données projet'!$E$16+1,1))</f>
        <v>274.38315511766132</v>
      </c>
      <c r="FK53" s="60">
        <f t="shared" si="48"/>
        <v>255.96663040027175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15.5</v>
      </c>
      <c r="FZ53" s="13">
        <f>IF('Données projet'!$A$244&gt;35,FZ52+FY53-GH52,IF(A53&lt;'Données projet'!$A$244,$FW$205^A53,IF(A53='Données projet'!$A$244,'Données projet'!$B$244,FZ52+FY53-GH52)))</f>
        <v>207.99999999999986</v>
      </c>
      <c r="GA53" s="18">
        <f>FZ53*VLOOKUP('Données projet'!$B$17,Paramètres!$A$1:$I$89,3,0)*VLOOKUP('Données projet'!$B$17,Paramètres!$A$1:$I$89,5,0)</f>
        <v>178.46399999999991</v>
      </c>
      <c r="GB53" s="14">
        <f t="shared" si="49"/>
        <v>44.980284206661821</v>
      </c>
      <c r="GC53" s="22">
        <f t="shared" si="25"/>
        <v>389.16546165993583</v>
      </c>
      <c r="GD53" s="60">
        <f t="shared" si="26"/>
        <v>682.49879499326914</v>
      </c>
      <c r="GE53" s="60">
        <f ca="1">AVERAGE(OFFSET($GD$3,0,0,'Données projet'!$E$17+1,1))-AVERAGE(OFFSET($H$3,0,0,'Données projet'!$E$17+1,1))</f>
        <v>445.81166342116865</v>
      </c>
      <c r="GF53" s="60">
        <f t="shared" si="50"/>
        <v>230.82970731138215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10.375</v>
      </c>
      <c r="GU53" s="13">
        <f>IF('Données projet'!$A$270&gt;35,GU52+GT53-HC52,IF(A53&lt;'Données projet'!$A$270,$GR$205^A53,IF(A53='Données projet'!$A$270,'Données projet'!$B$270,GU52+GT53-HC52)))</f>
        <v>249.24999999999991</v>
      </c>
      <c r="GV53" s="18">
        <f>GU53*VLOOKUP('Données projet'!$B$18,Paramètres!$A$1:$I$89,3,0)*VLOOKUP('Données projet'!$B$18,Paramètres!$A$1:$I$89,5,0)</f>
        <v>194.41499999999994</v>
      </c>
      <c r="GW53" s="14">
        <f t="shared" si="51"/>
        <v>48.514737888684927</v>
      </c>
      <c r="GX53" s="22">
        <f t="shared" si="28"/>
        <v>423.10262682279273</v>
      </c>
      <c r="GY53" s="60">
        <f t="shared" si="29"/>
        <v>716.43596015612604</v>
      </c>
      <c r="GZ53" s="60">
        <f ca="1">AVERAGE(OFFSET($GY$3,0,0,'Données projet'!$E$18+1,1))-AVERAGE(OFFSET($H$3,0,0,'Données projet'!$E$18+1,1))</f>
        <v>289.19475369871481</v>
      </c>
      <c r="HA53" s="60">
        <f t="shared" si="52"/>
        <v>283.48738729114024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projet'!$B$18,Paramètres!$A$1:$I$89,3,0)*0.475*44/12</f>
        <v>0</v>
      </c>
      <c r="HH53" s="23">
        <f>EXP(-LN(2)/25)*HH52+(1-EXP(-LN(2)/25))/(LN(2)/25)*Calculateur!HC53*Calculateur!HE53*VLOOKUP('Données projet'!$B$18,Paramètres!$A$1:$I$89,3,0)*0.475*44/12</f>
        <v>0</v>
      </c>
      <c r="HI53" s="23">
        <f>EXP(-LN(2)/2)*HI52+(1-EXP(-LN(2)/2))/(LN(2)/2)*HC53*HF53*VLOOKUP('Données projet'!$B$18,Paramètres!$A$1:$I$89,3,0)*0.475*44/12</f>
        <v>0</v>
      </c>
      <c r="HJ53" s="24">
        <f t="shared" si="30"/>
        <v>0</v>
      </c>
    </row>
    <row r="54" spans="1:218" s="5" customFormat="1" x14ac:dyDescent="0.3">
      <c r="A54" s="11">
        <f t="shared" si="31"/>
        <v>51</v>
      </c>
      <c r="B54" s="75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8">
        <f t="shared" si="1"/>
        <v>256.66666666666669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186</v>
      </c>
      <c r="O54" s="14">
        <f>N54*VLOOKUP('Données projet'!$B$9,Paramètres!$A$1:$I$89,3,0)*VLOOKUP('Données projet'!$B$9,Paramètres!$A$1:$I$89,5,0)</f>
        <v>179.89920000000001</v>
      </c>
      <c r="P54" s="14">
        <f t="shared" si="33"/>
        <v>45.299759292628586</v>
      </c>
      <c r="Q54" s="22">
        <f t="shared" si="53"/>
        <v>392.22152076799483</v>
      </c>
      <c r="R54" s="60">
        <f t="shared" si="0"/>
        <v>685.55485410132815</v>
      </c>
      <c r="S54" s="60">
        <f ca="1">AVERAGE(OFFSET($R$3,0,0,'Données projet'!$E$9+1,1))-AVERAGE(OFFSET($H$3,0,0,'Données projet'!$E$9+1,1))</f>
        <v>456.86147223520601</v>
      </c>
      <c r="T54" s="60">
        <f t="shared" si="34"/>
        <v>244.45149244446094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1.8</v>
      </c>
      <c r="AI54" s="14">
        <f>IF('Données projet'!$A$62&gt;35,AI53+AH54-AQ53,IF(A54&lt;'Données projet'!$A$62,$AF$205^A54,IF(A54='Données projet'!$A$62,'Données projet'!$B$62,AI53+AH54-AQ53)))</f>
        <v>139.80000000000004</v>
      </c>
      <c r="AJ54" s="14">
        <f>AI54*VLOOKUP('Données projet'!$B$10,Paramètres!$A$1:$I$89,3,0)*VLOOKUP('Données projet'!$B$10,Paramètres!$A$1:$I$89,5,0)</f>
        <v>91.596960000000024</v>
      </c>
      <c r="AK54" s="14">
        <f t="shared" si="35"/>
        <v>24.94997815020217</v>
      </c>
      <c r="AL54" s="22">
        <f t="shared" si="4"/>
        <v>202.98591727826883</v>
      </c>
      <c r="AM54" s="60">
        <f t="shared" si="5"/>
        <v>496.31925061160211</v>
      </c>
      <c r="AN54" s="60">
        <f ca="1">AVERAGE(OFFSET($AM$3,0,0,'Données projet'!$E$10+1,1))-AVERAGE(OFFSET($H$3,0,0,'Données projet'!$E$10+1,1))</f>
        <v>170.79567854714986</v>
      </c>
      <c r="AO54" s="60">
        <f t="shared" si="36"/>
        <v>155.92788004111191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7.6</v>
      </c>
      <c r="BD54" s="13">
        <f>IF('Données projet'!$A$88&gt;35,BD53+BC54-BL53,IF(A54&lt;'Données projet'!$A$88,$BA$205^A54,IF(A54='Données projet'!$A$88,'Données projet'!$B$88,BD53+BC54-BL53)))</f>
        <v>235.59999999999997</v>
      </c>
      <c r="BE54" s="14">
        <f>BD54*VLOOKUP('Données projet'!$B$11,Paramètres!$A$1:$I$89,3,0)*VLOOKUP('Données projet'!$B$11,Paramètres!$A$1:$I$89,5,0)</f>
        <v>191.11872</v>
      </c>
      <c r="BF54" s="14">
        <f t="shared" si="37"/>
        <v>47.787201388032145</v>
      </c>
      <c r="BG54" s="22">
        <f t="shared" si="7"/>
        <v>416.09447975082259</v>
      </c>
      <c r="BH54" s="60">
        <f t="shared" si="8"/>
        <v>709.4278130841559</v>
      </c>
      <c r="BI54" s="60">
        <f ca="1">AVERAGE(OFFSET($BH$3,0,0,'Données projet'!$E$11+1,1))-AVERAGE(OFFSET($H$3,0,0,'Données projet'!$E$11+1,1))</f>
        <v>256.19915261735281</v>
      </c>
      <c r="BJ54" s="60">
        <f t="shared" si="38"/>
        <v>297.47246687305056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4.8717948717948731</v>
      </c>
      <c r="BY54" s="13">
        <f>IF('Données projet'!$A$114&gt;35,BY53+BX54-CG53,IF(A54&lt;'Données projet'!$A$114,$BV$205^A54,IF(A54='Données projet'!$A$114,'Données projet'!$B$114,BY53+BX54-CG53)))</f>
        <v>163.20512820512815</v>
      </c>
      <c r="BZ54" s="14">
        <f>BY54*VLOOKUP('Données projet'!$B$12,Paramètres!$A$1:$I$89,3,0)*VLOOKUP('Données projet'!$B$12,Paramètres!$A$1:$I$89,5,0)</f>
        <v>155.30599999999995</v>
      </c>
      <c r="CA54" s="14">
        <f t="shared" si="39"/>
        <v>39.781942810239308</v>
      </c>
      <c r="CB54" s="22">
        <f t="shared" si="10"/>
        <v>339.7781670611667</v>
      </c>
      <c r="CC54" s="60">
        <f t="shared" si="11"/>
        <v>633.11150039450001</v>
      </c>
      <c r="CD54" s="60">
        <f ca="1">AVERAGE(OFFSET($CC$3,0,0,'Données projet'!$E$12+1,1))-AVERAGE(OFFSET($H$3,0,0,'Données projet'!$E$12+1,1))</f>
        <v>353.53401919391234</v>
      </c>
      <c r="CE54" s="60">
        <f t="shared" si="40"/>
        <v>244.7141066773861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</v>
      </c>
      <c r="CT54" s="13">
        <f>IF('Données projet'!$A$140&gt;35,CT53+CS54-DB53,IF(A54&lt;'Données projet'!$A$140,$CQ$205^A54,IF(A54='Données projet'!$A$140,'Données projet'!$B$140,CT53+CS54-DB53)))</f>
        <v>186</v>
      </c>
      <c r="CU54" s="18">
        <f>CT54*VLOOKUP('Données projet'!$B$13,Paramètres!$A$1:$I$89,3,0)*VLOOKUP('Données projet'!$B$13,Paramètres!$A$1:$I$89,5,0)</f>
        <v>156.68640000000002</v>
      </c>
      <c r="CV54" s="14">
        <f t="shared" si="41"/>
        <v>40.094215809840712</v>
      </c>
      <c r="CW54" s="22">
        <f t="shared" si="13"/>
        <v>342.7262392021392</v>
      </c>
      <c r="CX54" s="60">
        <f t="shared" si="14"/>
        <v>636.05957253547251</v>
      </c>
      <c r="CY54" s="60">
        <f ca="1">AVERAGE(OFFSET($CX$3,0,0,'Données projet'!$E$13+1,1))-AVERAGE(OFFSET($H$3,0,0,'Données projet'!$E$13+1,1))</f>
        <v>403.33327536410098</v>
      </c>
      <c r="CZ54" s="60">
        <f t="shared" si="42"/>
        <v>218.26721063098552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6.1199999999999992</v>
      </c>
      <c r="DO54" s="13">
        <f>IF('Données projet'!$A$166&gt;35,DO53+DN54-DW53,IF(A54&lt;'Données projet'!$A$166,$DL$205^A54,IF(A54='Données projet'!$A$166,'Données projet'!$B$166,DO53+DN54-DW53)))</f>
        <v>224.5200000000001</v>
      </c>
      <c r="DP54" s="18">
        <f>DO54*VLOOKUP('Données projet'!$B$14,Paramètres!$A$1:$I$89,3,0)*VLOOKUP('Données projet'!$B$14,Paramètres!$A$1:$I$89,5,0)</f>
        <v>178.62811200000007</v>
      </c>
      <c r="DQ54" s="14">
        <f t="shared" si="43"/>
        <v>45.016830588027069</v>
      </c>
      <c r="DR54" s="22">
        <f t="shared" si="16"/>
        <v>389.51494167414722</v>
      </c>
      <c r="DS54" s="60">
        <f t="shared" si="17"/>
        <v>682.84827500748054</v>
      </c>
      <c r="DT54" s="60">
        <f ca="1">AVERAGE(OFFSET($DS$3,0,0,'Données projet'!$E$14+1,1))-AVERAGE(OFFSET($H$3,0,0,'Données projet'!$E$14+1,1))</f>
        <v>317.13087551964747</v>
      </c>
      <c r="DU54" s="60">
        <f t="shared" si="44"/>
        <v>293.43300041793185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4.7599999999999962</v>
      </c>
      <c r="EJ54" s="13">
        <f>IF('Données projet'!$A$192&gt;35,EJ53+EI54-ER53,IF(A54&lt;'Données projet'!$A$192,$EG$205^A54,IF(A54='Données projet'!$A$192,'Données projet'!$B$192,EJ53+EI54-ER53)))</f>
        <v>178.96000000000021</v>
      </c>
      <c r="EK54" s="18">
        <f>EJ54*VLOOKUP('Données projet'!$B$15,Paramètres!$A$1:$I$89,3,0)*VLOOKUP('Données projet'!$B$15,Paramètres!$A$1:$I$89,5,0)</f>
        <v>142.38057600000019</v>
      </c>
      <c r="EL54" s="14">
        <f t="shared" si="45"/>
        <v>36.841825705870335</v>
      </c>
      <c r="EM54" s="22">
        <f t="shared" si="19"/>
        <v>312.14568297105785</v>
      </c>
      <c r="EN54" s="60">
        <f t="shared" si="20"/>
        <v>605.47901630439117</v>
      </c>
      <c r="EO54" s="60">
        <f ca="1">AVERAGE(OFFSET($EN$3,0,0,'Données projet'!$E$15+1,1))-AVERAGE(OFFSET($H$3,0,0,'Données projet'!$E$15+1,1))</f>
        <v>253.03289960511904</v>
      </c>
      <c r="EP54" s="60">
        <f t="shared" si="46"/>
        <v>236.85088713056018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4.7599999999999962</v>
      </c>
      <c r="FE54" s="13">
        <f>IF('Données projet'!$A$218&gt;35,FE53+FD54-FM53,IF(A54&lt;'Données projet'!$A$218,$FB$205^A54,IF(A54='Données projet'!$A$218,'Données projet'!$B$218,FE53+FD54-FM53)))</f>
        <v>178.96000000000021</v>
      </c>
      <c r="FF54" s="18">
        <f>FE54*VLOOKUP('Données projet'!$B$16,Paramètres!$A$1:$I$89,3,0)*VLOOKUP('Données projet'!$B$16,Paramètres!$A$1:$I$89,5,0)</f>
        <v>156.33945600000021</v>
      </c>
      <c r="FG54" s="14">
        <f t="shared" si="47"/>
        <v>40.015760648523482</v>
      </c>
      <c r="FH54" s="22">
        <f t="shared" si="22"/>
        <v>341.98533566284544</v>
      </c>
      <c r="FI54" s="60">
        <f t="shared" si="23"/>
        <v>635.31866899617876</v>
      </c>
      <c r="FJ54" s="60">
        <f ca="1">AVERAGE(OFFSET($FI$3,0,0,'Données projet'!$E$16+1,1))-AVERAGE(OFFSET($H$3,0,0,'Données projet'!$E$16+1,1))</f>
        <v>274.38315511766132</v>
      </c>
      <c r="FK54" s="60">
        <f t="shared" si="48"/>
        <v>255.96663040027175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15.5</v>
      </c>
      <c r="FZ54" s="13">
        <f>IF('Données projet'!$A$244&gt;35,FZ53+FY54-GH53,IF(A54&lt;'Données projet'!$A$244,$FW$205^A54,IF(A54='Données projet'!$A$244,'Données projet'!$B$244,FZ53+FY54-GH53)))</f>
        <v>223.49999999999986</v>
      </c>
      <c r="GA54" s="18">
        <f>FZ54*VLOOKUP('Données projet'!$B$17,Paramètres!$A$1:$I$89,3,0)*VLOOKUP('Données projet'!$B$17,Paramètres!$A$1:$I$89,5,0)</f>
        <v>191.76299999999989</v>
      </c>
      <c r="GB54" s="14">
        <f t="shared" si="49"/>
        <v>47.929517351413239</v>
      </c>
      <c r="GC54" s="22">
        <f t="shared" si="25"/>
        <v>417.46446772037785</v>
      </c>
      <c r="GD54" s="60">
        <f t="shared" si="26"/>
        <v>710.79780105371117</v>
      </c>
      <c r="GE54" s="60">
        <f ca="1">AVERAGE(OFFSET($GD$3,0,0,'Données projet'!$E$17+1,1))-AVERAGE(OFFSET($H$3,0,0,'Données projet'!$E$17+1,1))</f>
        <v>445.81166342116865</v>
      </c>
      <c r="GF54" s="60">
        <f t="shared" si="50"/>
        <v>230.82970731138215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10.375</v>
      </c>
      <c r="GU54" s="13">
        <f>IF('Données projet'!$A$270&gt;35,GU53+GT54-HC53,IF(A54&lt;'Données projet'!$A$270,$GR$205^A54,IF(A54='Données projet'!$A$270,'Données projet'!$B$270,GU53+GT54-HC53)))</f>
        <v>259.62499999999989</v>
      </c>
      <c r="GV54" s="18">
        <f>GU54*VLOOKUP('Données projet'!$B$18,Paramètres!$A$1:$I$89,3,0)*VLOOKUP('Données projet'!$B$18,Paramètres!$A$1:$I$89,5,0)</f>
        <v>202.50749999999991</v>
      </c>
      <c r="GW54" s="14">
        <f t="shared" si="51"/>
        <v>50.294840086606349</v>
      </c>
      <c r="GX54" s="22">
        <f t="shared" si="28"/>
        <v>440.29740898417253</v>
      </c>
      <c r="GY54" s="60">
        <f t="shared" si="29"/>
        <v>733.63074231750579</v>
      </c>
      <c r="GZ54" s="60">
        <f ca="1">AVERAGE(OFFSET($GY$3,0,0,'Données projet'!$E$18+1,1))-AVERAGE(OFFSET($H$3,0,0,'Données projet'!$E$18+1,1))</f>
        <v>289.19475369871481</v>
      </c>
      <c r="HA54" s="60">
        <f t="shared" si="52"/>
        <v>283.48738729114024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projet'!$B$18,Paramètres!$A$1:$I$89,3,0)*0.475*44/12</f>
        <v>0</v>
      </c>
      <c r="HH54" s="23">
        <f>EXP(-LN(2)/25)*HH53+(1-EXP(-LN(2)/25))/(LN(2)/25)*Calculateur!HC54*Calculateur!HE54*VLOOKUP('Données projet'!$B$18,Paramètres!$A$1:$I$89,3,0)*0.475*44/12</f>
        <v>0</v>
      </c>
      <c r="HI54" s="23">
        <f>EXP(-LN(2)/2)*HI53+(1-EXP(-LN(2)/2))/(LN(2)/2)*HC54*HF54*VLOOKUP('Données projet'!$B$18,Paramètres!$A$1:$I$89,3,0)*0.475*44/12</f>
        <v>0</v>
      </c>
      <c r="HJ54" s="24">
        <f t="shared" si="30"/>
        <v>0</v>
      </c>
    </row>
    <row r="55" spans="1:218" s="5" customFormat="1" x14ac:dyDescent="0.3">
      <c r="A55" s="11">
        <f t="shared" si="31"/>
        <v>52</v>
      </c>
      <c r="B55" s="75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8">
        <f t="shared" si="1"/>
        <v>256.66666666666669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194</v>
      </c>
      <c r="O55" s="14">
        <f>N55*VLOOKUP('Données projet'!$B$9,Paramètres!$A$1:$I$89,3,0)*VLOOKUP('Données projet'!$B$9,Paramètres!$A$1:$I$89,5,0)</f>
        <v>187.63680000000002</v>
      </c>
      <c r="P55" s="14">
        <f t="shared" si="33"/>
        <v>47.01710291385907</v>
      </c>
      <c r="Q55" s="22">
        <f t="shared" si="53"/>
        <v>408.68888090830461</v>
      </c>
      <c r="R55" s="60">
        <f t="shared" si="0"/>
        <v>702.02221424163793</v>
      </c>
      <c r="S55" s="60">
        <f ca="1">AVERAGE(OFFSET($R$3,0,0,'Données projet'!$E$9+1,1))-AVERAGE(OFFSET($H$3,0,0,'Données projet'!$E$9+1,1))</f>
        <v>456.86147223520601</v>
      </c>
      <c r="T55" s="60">
        <f t="shared" si="34"/>
        <v>244.45149244446094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1.8</v>
      </c>
      <c r="AI55" s="14">
        <f>IF('Données projet'!$A$62&gt;35,AI54+AH55-AQ54,IF(A55&lt;'Données projet'!$A$62,$AF$205^A55,IF(A55='Données projet'!$A$62,'Données projet'!$B$62,AI54+AH55-AQ54)))</f>
        <v>141.60000000000005</v>
      </c>
      <c r="AJ55" s="14">
        <f>AI55*VLOOKUP('Données projet'!$B$10,Paramètres!$A$1:$I$89,3,0)*VLOOKUP('Données projet'!$B$10,Paramètres!$A$1:$I$89,5,0)</f>
        <v>92.776320000000041</v>
      </c>
      <c r="AK55" s="14">
        <f t="shared" si="35"/>
        <v>25.233617967655977</v>
      </c>
      <c r="AL55" s="22">
        <f t="shared" si="4"/>
        <v>205.53397529366757</v>
      </c>
      <c r="AM55" s="60">
        <f t="shared" si="5"/>
        <v>498.86730862700085</v>
      </c>
      <c r="AN55" s="60">
        <f ca="1">AVERAGE(OFFSET($AM$3,0,0,'Données projet'!$E$10+1,1))-AVERAGE(OFFSET($H$3,0,0,'Données projet'!$E$10+1,1))</f>
        <v>170.79567854714986</v>
      </c>
      <c r="AO55" s="60">
        <f t="shared" si="36"/>
        <v>155.92788004111191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7.6</v>
      </c>
      <c r="BD55" s="13">
        <f>IF('Données projet'!$A$88&gt;35,BD54+BC55-BL54,IF(A55&lt;'Données projet'!$A$88,$BA$205^A55,IF(A55='Données projet'!$A$88,'Données projet'!$B$88,BD54+BC55-BL54)))</f>
        <v>243.19999999999996</v>
      </c>
      <c r="BE55" s="14">
        <f>BD55*VLOOKUP('Données projet'!$B$11,Paramètres!$A$1:$I$89,3,0)*VLOOKUP('Données projet'!$B$11,Paramètres!$A$1:$I$89,5,0)</f>
        <v>197.28383999999997</v>
      </c>
      <c r="BF55" s="14">
        <f t="shared" si="37"/>
        <v>49.146763750789503</v>
      </c>
      <c r="BG55" s="22">
        <f t="shared" si="7"/>
        <v>429.19996819929173</v>
      </c>
      <c r="BH55" s="60">
        <f t="shared" si="8"/>
        <v>722.53330153262505</v>
      </c>
      <c r="BI55" s="60">
        <f ca="1">AVERAGE(OFFSET($BH$3,0,0,'Données projet'!$E$11+1,1))-AVERAGE(OFFSET($H$3,0,0,'Données projet'!$E$11+1,1))</f>
        <v>256.19915261735281</v>
      </c>
      <c r="BJ55" s="60">
        <f t="shared" si="38"/>
        <v>297.47246687305056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4.8717948717948731</v>
      </c>
      <c r="BY55" s="13">
        <f>IF('Données projet'!$A$114&gt;35,BY54+BX55-CG54,IF(A55&lt;'Données projet'!$A$114,$BV$205^A55,IF(A55='Données projet'!$A$114,'Données projet'!$B$114,BY54+BX55-CG54)))</f>
        <v>168.07692307692301</v>
      </c>
      <c r="BZ55" s="14">
        <f>BY55*VLOOKUP('Données projet'!$B$12,Paramètres!$A$1:$I$89,3,0)*VLOOKUP('Données projet'!$B$12,Paramètres!$A$1:$I$89,5,0)</f>
        <v>159.94199999999995</v>
      </c>
      <c r="CA55" s="14">
        <f t="shared" si="39"/>
        <v>40.829433068762448</v>
      </c>
      <c r="CB55" s="22">
        <f t="shared" si="10"/>
        <v>349.67691259476118</v>
      </c>
      <c r="CC55" s="60">
        <f t="shared" si="11"/>
        <v>643.01024592809449</v>
      </c>
      <c r="CD55" s="60">
        <f ca="1">AVERAGE(OFFSET($CC$3,0,0,'Données projet'!$E$12+1,1))-AVERAGE(OFFSET($H$3,0,0,'Données projet'!$E$12+1,1))</f>
        <v>353.53401919391234</v>
      </c>
      <c r="CE55" s="60">
        <f t="shared" si="40"/>
        <v>244.7141066773861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</v>
      </c>
      <c r="CT55" s="13">
        <f>IF('Données projet'!$A$140&gt;35,CT54+CS55-DB54,IF(A55&lt;'Données projet'!$A$140,$CQ$205^A55,IF(A55='Données projet'!$A$140,'Données projet'!$B$140,CT54+CS55-DB54)))</f>
        <v>194</v>
      </c>
      <c r="CU55" s="18">
        <f>CT55*VLOOKUP('Données projet'!$B$13,Paramètres!$A$1:$I$89,3,0)*VLOOKUP('Données projet'!$B$13,Paramètres!$A$1:$I$89,5,0)</f>
        <v>163.4256</v>
      </c>
      <c r="CV55" s="14">
        <f t="shared" si="41"/>
        <v>41.614213859377173</v>
      </c>
      <c r="CW55" s="22">
        <f t="shared" si="13"/>
        <v>357.11100913841528</v>
      </c>
      <c r="CX55" s="60">
        <f t="shared" si="14"/>
        <v>650.44434247174854</v>
      </c>
      <c r="CY55" s="60">
        <f ca="1">AVERAGE(OFFSET($CX$3,0,0,'Données projet'!$E$13+1,1))-AVERAGE(OFFSET($H$3,0,0,'Données projet'!$E$13+1,1))</f>
        <v>403.33327536410098</v>
      </c>
      <c r="CZ55" s="60">
        <f t="shared" si="42"/>
        <v>218.26721063098552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6.1199999999999992</v>
      </c>
      <c r="DO55" s="13">
        <f>IF('Données projet'!$A$166&gt;35,DO54+DN55-DW54,IF(A55&lt;'Données projet'!$A$166,$DL$205^A55,IF(A55='Données projet'!$A$166,'Données projet'!$B$166,DO54+DN55-DW54)))</f>
        <v>230.6400000000001</v>
      </c>
      <c r="DP55" s="18">
        <f>DO55*VLOOKUP('Données projet'!$B$14,Paramètres!$A$1:$I$89,3,0)*VLOOKUP('Données projet'!$B$14,Paramètres!$A$1:$I$89,5,0)</f>
        <v>183.49718400000009</v>
      </c>
      <c r="DQ55" s="14">
        <f t="shared" si="43"/>
        <v>46.099371676156814</v>
      </c>
      <c r="DR55" s="22">
        <f t="shared" si="16"/>
        <v>399.88066780263989</v>
      </c>
      <c r="DS55" s="60">
        <f t="shared" si="17"/>
        <v>693.21400113597315</v>
      </c>
      <c r="DT55" s="60">
        <f ca="1">AVERAGE(OFFSET($DS$3,0,0,'Données projet'!$E$14+1,1))-AVERAGE(OFFSET($H$3,0,0,'Données projet'!$E$14+1,1))</f>
        <v>317.13087551964747</v>
      </c>
      <c r="DU55" s="60">
        <f t="shared" si="44"/>
        <v>293.43300041793185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4.7599999999999962</v>
      </c>
      <c r="EJ55" s="13">
        <f>IF('Données projet'!$A$192&gt;35,EJ54+EI55-ER54,IF(A55&lt;'Données projet'!$A$192,$EG$205^A55,IF(A55='Données projet'!$A$192,'Données projet'!$B$192,EJ54+EI55-ER54)))</f>
        <v>183.7200000000002</v>
      </c>
      <c r="EK55" s="18">
        <f>EJ55*VLOOKUP('Données projet'!$B$15,Paramètres!$A$1:$I$89,3,0)*VLOOKUP('Données projet'!$B$15,Paramètres!$A$1:$I$89,5,0)</f>
        <v>146.16763200000017</v>
      </c>
      <c r="EL55" s="14">
        <f t="shared" si="45"/>
        <v>37.706358737913568</v>
      </c>
      <c r="EM55" s="22">
        <f t="shared" si="19"/>
        <v>320.24720053519974</v>
      </c>
      <c r="EN55" s="60">
        <f t="shared" si="20"/>
        <v>613.58053386853305</v>
      </c>
      <c r="EO55" s="60">
        <f ca="1">AVERAGE(OFFSET($EN$3,0,0,'Données projet'!$E$15+1,1))-AVERAGE(OFFSET($H$3,0,0,'Données projet'!$E$15+1,1))</f>
        <v>253.03289960511904</v>
      </c>
      <c r="EP55" s="60">
        <f t="shared" si="46"/>
        <v>236.85088713056018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4.7599999999999962</v>
      </c>
      <c r="FE55" s="13">
        <f>IF('Données projet'!$A$218&gt;35,FE54+FD55-FM54,IF(A55&lt;'Données projet'!$A$218,$FB$205^A55,IF(A55='Données projet'!$A$218,'Données projet'!$B$218,FE54+FD55-FM54)))</f>
        <v>183.7200000000002</v>
      </c>
      <c r="FF55" s="18">
        <f>FE55*VLOOKUP('Données projet'!$B$16,Paramètres!$A$1:$I$89,3,0)*VLOOKUP('Données projet'!$B$16,Paramètres!$A$1:$I$89,5,0)</f>
        <v>160.49779200000017</v>
      </c>
      <c r="FG55" s="14">
        <f t="shared" si="47"/>
        <v>40.95477347484691</v>
      </c>
      <c r="FH55" s="22">
        <f t="shared" si="22"/>
        <v>350.86321820202534</v>
      </c>
      <c r="FI55" s="60">
        <f t="shared" si="23"/>
        <v>644.19655153535859</v>
      </c>
      <c r="FJ55" s="60">
        <f ca="1">AVERAGE(OFFSET($FI$3,0,0,'Données projet'!$E$16+1,1))-AVERAGE(OFFSET($H$3,0,0,'Données projet'!$E$16+1,1))</f>
        <v>274.38315511766132</v>
      </c>
      <c r="FK55" s="60">
        <f t="shared" si="48"/>
        <v>255.96663040027175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15.5</v>
      </c>
      <c r="FZ55" s="13">
        <f>IF('Données projet'!$A$244&gt;35,FZ54+FY55-GH54,IF(A55&lt;'Données projet'!$A$244,$FW$205^A55,IF(A55='Données projet'!$A$244,'Données projet'!$B$244,FZ54+FY55-GH54)))</f>
        <v>238.99999999999986</v>
      </c>
      <c r="GA55" s="18">
        <f>FZ55*VLOOKUP('Données projet'!$B$17,Paramètres!$A$1:$I$89,3,0)*VLOOKUP('Données projet'!$B$17,Paramètres!$A$1:$I$89,5,0)</f>
        <v>205.0619999999999</v>
      </c>
      <c r="GB55" s="14">
        <f t="shared" si="49"/>
        <v>50.855018623514823</v>
      </c>
      <c r="GC55" s="22">
        <f t="shared" si="25"/>
        <v>445.72214076928805</v>
      </c>
      <c r="GD55" s="60">
        <f t="shared" si="26"/>
        <v>739.05547410262136</v>
      </c>
      <c r="GE55" s="60">
        <f ca="1">AVERAGE(OFFSET($GD$3,0,0,'Données projet'!$E$17+1,1))-AVERAGE(OFFSET($H$3,0,0,'Données projet'!$E$17+1,1))</f>
        <v>445.81166342116865</v>
      </c>
      <c r="GF55" s="60">
        <f t="shared" si="50"/>
        <v>230.82970731138215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>
        <f>VLOOKUP(A55,'Données projet'!$A$269:$I$289,2,0)</f>
        <v>270</v>
      </c>
      <c r="GS55" s="13">
        <f>VLOOKUP(A55,'Données projet'!$A$269:$I$289,9,0)</f>
        <v>10.375</v>
      </c>
      <c r="GT55" s="13">
        <f t="array" ref="GT55">INDEX(GS:GS,MIN(IF(ISNUMBER(GS55:GS251),ROW(GS55:GS251),"")))</f>
        <v>10.375</v>
      </c>
      <c r="GU55" s="13">
        <f>IF('Données projet'!$A$270&gt;35,GU54+GT55-HC54,IF(A55&lt;'Données projet'!$A$270,$GR$205^A55,IF(A55='Données projet'!$A$270,'Données projet'!$B$270,GU54+GT55-HC54)))</f>
        <v>269.99999999999989</v>
      </c>
      <c r="GV55" s="18">
        <f>GU55*VLOOKUP('Données projet'!$B$18,Paramètres!$A$1:$I$89,3,0)*VLOOKUP('Données projet'!$B$18,Paramètres!$A$1:$I$89,5,0)</f>
        <v>210.59999999999991</v>
      </c>
      <c r="GW55" s="14">
        <f t="shared" si="51"/>
        <v>52.066679014659961</v>
      </c>
      <c r="GX55" s="22">
        <f t="shared" si="28"/>
        <v>457.47779928386586</v>
      </c>
      <c r="GY55" s="60">
        <f t="shared" si="29"/>
        <v>750.81113261719918</v>
      </c>
      <c r="GZ55" s="60">
        <f ca="1">AVERAGE(OFFSET($GY$3,0,0,'Données projet'!$E$18+1,1))-AVERAGE(OFFSET($H$3,0,0,'Données projet'!$E$18+1,1))</f>
        <v>289.19475369871481</v>
      </c>
      <c r="HA55" s="60">
        <f t="shared" si="52"/>
        <v>283.48738729114024</v>
      </c>
      <c r="HB55" s="16">
        <f>IF(ISNA(VLOOKUP(A55,'Données projet'!$A$269:$I$289,3,0)),0,VLOOKUP(A55,'Données projet'!$A$269:$I$289,3,0))</f>
        <v>6</v>
      </c>
      <c r="HC55" s="16">
        <f>IF(ISNA(VLOOKUP(A55,'Données projet'!$A$269:$I$289,4,0)),0,VLOOKUP(A55,'Données projet'!$A$269:$I$289,4,0))</f>
        <v>48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projet'!$B$18,Paramètres!$A$1:$I$89,3,0)*0.475*44/12</f>
        <v>0</v>
      </c>
      <c r="HH55" s="23">
        <f>EXP(-LN(2)/25)*HH54+(1-EXP(-LN(2)/25))/(LN(2)/25)*Calculateur!HC55*Calculateur!HE55*VLOOKUP('Données projet'!$B$18,Paramètres!$A$1:$I$89,3,0)*0.475*44/12</f>
        <v>0</v>
      </c>
      <c r="HI55" s="23">
        <f>EXP(-LN(2)/2)*HI54+(1-EXP(-LN(2)/2))/(LN(2)/2)*HC55*HF55*VLOOKUP('Données projet'!$B$18,Paramètres!$A$1:$I$89,3,0)*0.475*44/12</f>
        <v>0</v>
      </c>
      <c r="HJ55" s="24">
        <f t="shared" si="30"/>
        <v>0</v>
      </c>
    </row>
    <row r="56" spans="1:218" s="5" customFormat="1" x14ac:dyDescent="0.3">
      <c r="A56" s="11">
        <f t="shared" si="31"/>
        <v>53</v>
      </c>
      <c r="B56" s="75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8">
        <f t="shared" si="1"/>
        <v>256.66666666666669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202</v>
      </c>
      <c r="O56" s="14">
        <f>N56*VLOOKUP('Données projet'!$B$9,Paramètres!$A$1:$I$89,3,0)*VLOOKUP('Données projet'!$B$9,Paramètres!$A$1:$I$89,5,0)</f>
        <v>195.37440000000001</v>
      </c>
      <c r="P56" s="14">
        <f t="shared" si="33"/>
        <v>48.726220575731652</v>
      </c>
      <c r="Q56" s="22">
        <f t="shared" si="53"/>
        <v>425.14191416939929</v>
      </c>
      <c r="R56" s="60">
        <f t="shared" si="0"/>
        <v>718.4752475027326</v>
      </c>
      <c r="S56" s="60">
        <f ca="1">AVERAGE(OFFSET($R$3,0,0,'Données projet'!$E$9+1,1))-AVERAGE(OFFSET($H$3,0,0,'Données projet'!$E$9+1,1))</f>
        <v>456.86147223520601</v>
      </c>
      <c r="T56" s="60">
        <f t="shared" si="34"/>
        <v>244.45149244446094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1.8</v>
      </c>
      <c r="AI56" s="14">
        <f>IF('Données projet'!$A$62&gt;35,AI55+AH56-AQ55,IF(A56&lt;'Données projet'!$A$62,$AF$205^A56,IF(A56='Données projet'!$A$62,'Données projet'!$B$62,AI55+AH56-AQ55)))</f>
        <v>143.40000000000006</v>
      </c>
      <c r="AJ56" s="14">
        <f>AI56*VLOOKUP('Données projet'!$B$10,Paramètres!$A$1:$I$89,3,0)*VLOOKUP('Données projet'!$B$10,Paramètres!$A$1:$I$89,5,0)</f>
        <v>93.955680000000044</v>
      </c>
      <c r="AK56" s="14">
        <f t="shared" si="35"/>
        <v>25.516838392731955</v>
      </c>
      <c r="AL56" s="22">
        <f t="shared" si="4"/>
        <v>208.08130286734158</v>
      </c>
      <c r="AM56" s="60">
        <f t="shared" si="5"/>
        <v>501.41463620067486</v>
      </c>
      <c r="AN56" s="60">
        <f ca="1">AVERAGE(OFFSET($AM$3,0,0,'Données projet'!$E$10+1,1))-AVERAGE(OFFSET($H$3,0,0,'Données projet'!$E$10+1,1))</f>
        <v>170.79567854714986</v>
      </c>
      <c r="AO56" s="60">
        <f t="shared" si="36"/>
        <v>155.92788004111191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7.6</v>
      </c>
      <c r="BD56" s="13">
        <f>IF('Données projet'!$A$88&gt;35,BD55+BC56-BL55,IF(A56&lt;'Données projet'!$A$88,$BA$205^A56,IF(A56='Données projet'!$A$88,'Données projet'!$B$88,BD55+BC56-BL55)))</f>
        <v>250.79999999999995</v>
      </c>
      <c r="BE56" s="14">
        <f>BD56*VLOOKUP('Données projet'!$B$11,Paramètres!$A$1:$I$89,3,0)*VLOOKUP('Données projet'!$B$11,Paramètres!$A$1:$I$89,5,0)</f>
        <v>203.44895999999997</v>
      </c>
      <c r="BF56" s="14">
        <f t="shared" si="37"/>
        <v>50.501388840000267</v>
      </c>
      <c r="BG56" s="22">
        <f t="shared" si="7"/>
        <v>442.2968575630004</v>
      </c>
      <c r="BH56" s="60">
        <f t="shared" si="8"/>
        <v>735.63019089633372</v>
      </c>
      <c r="BI56" s="60">
        <f ca="1">AVERAGE(OFFSET($BH$3,0,0,'Données projet'!$E$11+1,1))-AVERAGE(OFFSET($H$3,0,0,'Données projet'!$E$11+1,1))</f>
        <v>256.19915261735281</v>
      </c>
      <c r="BJ56" s="60">
        <f t="shared" si="38"/>
        <v>297.47246687305056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4.8717948717948731</v>
      </c>
      <c r="BY56" s="13">
        <f>IF('Données projet'!$A$114&gt;35,BY55+BX56-CG55,IF(A56&lt;'Données projet'!$A$114,$BV$205^A56,IF(A56='Données projet'!$A$114,'Données projet'!$B$114,BY55+BX56-CG55)))</f>
        <v>172.94871794871787</v>
      </c>
      <c r="BZ56" s="14">
        <f>BY56*VLOOKUP('Données projet'!$B$12,Paramètres!$A$1:$I$89,3,0)*VLOOKUP('Données projet'!$B$12,Paramètres!$A$1:$I$89,5,0)</f>
        <v>164.57799999999992</v>
      </c>
      <c r="CA56" s="14">
        <f t="shared" si="39"/>
        <v>41.873394619387192</v>
      </c>
      <c r="CB56" s="22">
        <f t="shared" si="10"/>
        <v>359.56951229543256</v>
      </c>
      <c r="CC56" s="60">
        <f t="shared" si="11"/>
        <v>652.90284562876582</v>
      </c>
      <c r="CD56" s="60">
        <f ca="1">AVERAGE(OFFSET($CC$3,0,0,'Données projet'!$E$12+1,1))-AVERAGE(OFFSET($H$3,0,0,'Données projet'!$E$12+1,1))</f>
        <v>353.53401919391234</v>
      </c>
      <c r="CE56" s="60">
        <f t="shared" si="40"/>
        <v>244.7141066773861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</v>
      </c>
      <c r="CT56" s="13">
        <f>IF('Données projet'!$A$140&gt;35,CT55+CS56-DB55,IF(A56&lt;'Données projet'!$A$140,$CQ$205^A56,IF(A56='Données projet'!$A$140,'Données projet'!$B$140,CT55+CS56-DB55)))</f>
        <v>202</v>
      </c>
      <c r="CU56" s="18">
        <f>CT56*VLOOKUP('Données projet'!$B$13,Paramètres!$A$1:$I$89,3,0)*VLOOKUP('Données projet'!$B$13,Paramètres!$A$1:$I$89,5,0)</f>
        <v>170.16480000000001</v>
      </c>
      <c r="CV56" s="14">
        <f t="shared" si="41"/>
        <v>43.126931221446739</v>
      </c>
      <c r="CW56" s="22">
        <f t="shared" si="13"/>
        <v>371.4830985440197</v>
      </c>
      <c r="CX56" s="60">
        <f t="shared" si="14"/>
        <v>664.81643187735301</v>
      </c>
      <c r="CY56" s="60">
        <f ca="1">AVERAGE(OFFSET($CX$3,0,0,'Données projet'!$E$13+1,1))-AVERAGE(OFFSET($H$3,0,0,'Données projet'!$E$13+1,1))</f>
        <v>403.33327536410098</v>
      </c>
      <c r="CZ56" s="60">
        <f t="shared" si="42"/>
        <v>218.26721063098552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6.1199999999999992</v>
      </c>
      <c r="DO56" s="13">
        <f>IF('Données projet'!$A$166&gt;35,DO55+DN56-DW55,IF(A56&lt;'Données projet'!$A$166,$DL$205^A56,IF(A56='Données projet'!$A$166,'Données projet'!$B$166,DO55+DN56-DW55)))</f>
        <v>236.7600000000001</v>
      </c>
      <c r="DP56" s="18">
        <f>DO56*VLOOKUP('Données projet'!$B$14,Paramètres!$A$1:$I$89,3,0)*VLOOKUP('Données projet'!$B$14,Paramètres!$A$1:$I$89,5,0)</f>
        <v>188.36625600000011</v>
      </c>
      <c r="DQ56" s="14">
        <f t="shared" si="43"/>
        <v>47.178573909730879</v>
      </c>
      <c r="DR56" s="22">
        <f t="shared" si="16"/>
        <v>410.24057875944817</v>
      </c>
      <c r="DS56" s="60">
        <f t="shared" si="17"/>
        <v>703.57391209278148</v>
      </c>
      <c r="DT56" s="60">
        <f ca="1">AVERAGE(OFFSET($DS$3,0,0,'Données projet'!$E$14+1,1))-AVERAGE(OFFSET($H$3,0,0,'Données projet'!$E$14+1,1))</f>
        <v>317.13087551964747</v>
      </c>
      <c r="DU56" s="60">
        <f t="shared" si="44"/>
        <v>293.43300041793185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4.7599999999999962</v>
      </c>
      <c r="EJ56" s="13">
        <f>IF('Données projet'!$A$192&gt;35,EJ55+EI56-ER55,IF(A56&lt;'Données projet'!$A$192,$EG$205^A56,IF(A56='Données projet'!$A$192,'Données projet'!$B$192,EJ55+EI56-ER55)))</f>
        <v>188.48000000000019</v>
      </c>
      <c r="EK56" s="18">
        <f>EJ56*VLOOKUP('Données projet'!$B$15,Paramètres!$A$1:$I$89,3,0)*VLOOKUP('Données projet'!$B$15,Paramètres!$A$1:$I$89,5,0)</f>
        <v>149.95468800000015</v>
      </c>
      <c r="EL56" s="14">
        <f t="shared" si="45"/>
        <v>38.568288125199764</v>
      </c>
      <c r="EM56" s="22">
        <f t="shared" si="19"/>
        <v>328.34418341805645</v>
      </c>
      <c r="EN56" s="60">
        <f t="shared" si="20"/>
        <v>621.6775167513897</v>
      </c>
      <c r="EO56" s="60">
        <f ca="1">AVERAGE(OFFSET($EN$3,0,0,'Données projet'!$E$15+1,1))-AVERAGE(OFFSET($H$3,0,0,'Données projet'!$E$15+1,1))</f>
        <v>253.03289960511904</v>
      </c>
      <c r="EP56" s="60">
        <f t="shared" si="46"/>
        <v>236.85088713056018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4.7599999999999962</v>
      </c>
      <c r="FE56" s="13">
        <f>IF('Données projet'!$A$218&gt;35,FE55+FD56-FM55,IF(A56&lt;'Données projet'!$A$218,$FB$205^A56,IF(A56='Données projet'!$A$218,'Données projet'!$B$218,FE55+FD56-FM55)))</f>
        <v>188.48000000000019</v>
      </c>
      <c r="FF56" s="18">
        <f>FE56*VLOOKUP('Données projet'!$B$16,Paramètres!$A$1:$I$89,3,0)*VLOOKUP('Données projet'!$B$16,Paramètres!$A$1:$I$89,5,0)</f>
        <v>164.65612800000019</v>
      </c>
      <c r="FG56" s="14">
        <f t="shared" si="47"/>
        <v>41.890958351593589</v>
      </c>
      <c r="FH56" s="22">
        <f t="shared" si="22"/>
        <v>359.7361753956925</v>
      </c>
      <c r="FI56" s="60">
        <f t="shared" si="23"/>
        <v>653.06950872902576</v>
      </c>
      <c r="FJ56" s="60">
        <f ca="1">AVERAGE(OFFSET($FI$3,0,0,'Données projet'!$E$16+1,1))-AVERAGE(OFFSET($H$3,0,0,'Données projet'!$E$16+1,1))</f>
        <v>274.38315511766132</v>
      </c>
      <c r="FK56" s="60">
        <f t="shared" si="48"/>
        <v>255.96663040027175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15.5</v>
      </c>
      <c r="FZ56" s="13">
        <f>IF('Données projet'!$A$244&gt;35,FZ55+FY56-GH55,IF(A56&lt;'Données projet'!$A$244,$FW$205^A56,IF(A56='Données projet'!$A$244,'Données projet'!$B$244,FZ55+FY56-GH55)))</f>
        <v>254.49999999999986</v>
      </c>
      <c r="GA56" s="18">
        <f>FZ56*VLOOKUP('Données projet'!$B$17,Paramètres!$A$1:$I$89,3,0)*VLOOKUP('Données projet'!$B$17,Paramètres!$A$1:$I$89,5,0)</f>
        <v>218.3609999999999</v>
      </c>
      <c r="GB56" s="14">
        <f t="shared" si="49"/>
        <v>53.758502281527136</v>
      </c>
      <c r="GC56" s="22">
        <f t="shared" si="25"/>
        <v>473.94146647365955</v>
      </c>
      <c r="GD56" s="60">
        <f t="shared" si="26"/>
        <v>767.27479980699286</v>
      </c>
      <c r="GE56" s="60">
        <f ca="1">AVERAGE(OFFSET($GD$3,0,0,'Données projet'!$E$17+1,1))-AVERAGE(OFFSET($H$3,0,0,'Données projet'!$E$17+1,1))</f>
        <v>445.81166342116865</v>
      </c>
      <c r="GF56" s="60">
        <f t="shared" si="50"/>
        <v>230.82970731138215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9.375</v>
      </c>
      <c r="GU56" s="13">
        <f>IF('Données projet'!$A$270&gt;35,GU55+GT56-HC55,IF(A56&lt;'Données projet'!$A$270,$GR$205^A56,IF(A56='Données projet'!$A$270,'Données projet'!$B$270,GU55+GT56-HC55)))</f>
        <v>231.37499999999989</v>
      </c>
      <c r="GV56" s="18">
        <f>GU56*VLOOKUP('Données projet'!$B$18,Paramètres!$A$1:$I$89,3,0)*VLOOKUP('Données projet'!$B$18,Paramètres!$A$1:$I$89,5,0)</f>
        <v>180.47249999999991</v>
      </c>
      <c r="GW56" s="14">
        <f t="shared" si="51"/>
        <v>45.427292666837829</v>
      </c>
      <c r="GX56" s="22">
        <f t="shared" si="28"/>
        <v>393.44213889474241</v>
      </c>
      <c r="GY56" s="60">
        <f t="shared" si="29"/>
        <v>686.77547222807573</v>
      </c>
      <c r="GZ56" s="60">
        <f ca="1">AVERAGE(OFFSET($GY$3,0,0,'Données projet'!$E$18+1,1))-AVERAGE(OFFSET($H$3,0,0,'Données projet'!$E$18+1,1))</f>
        <v>289.19475369871481</v>
      </c>
      <c r="HA56" s="60">
        <f t="shared" si="52"/>
        <v>283.48738729114024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projet'!$B$18,Paramètres!$A$1:$I$89,3,0)*0.475*44/12</f>
        <v>0</v>
      </c>
      <c r="HH56" s="23">
        <f>EXP(-LN(2)/25)*HH55+(1-EXP(-LN(2)/25))/(LN(2)/25)*Calculateur!HC56*Calculateur!HE56*VLOOKUP('Données projet'!$B$18,Paramètres!$A$1:$I$89,3,0)*0.475*44/12</f>
        <v>0</v>
      </c>
      <c r="HI56" s="23">
        <f>EXP(-LN(2)/2)*HI55+(1-EXP(-LN(2)/2))/(LN(2)/2)*HC56*HF56*VLOOKUP('Données projet'!$B$18,Paramètres!$A$1:$I$89,3,0)*0.475*44/12</f>
        <v>0</v>
      </c>
      <c r="HJ56" s="24">
        <f t="shared" si="30"/>
        <v>0</v>
      </c>
    </row>
    <row r="57" spans="1:218" s="5" customFormat="1" x14ac:dyDescent="0.3">
      <c r="A57" s="11">
        <f t="shared" si="31"/>
        <v>54</v>
      </c>
      <c r="B57" s="75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8">
        <f t="shared" si="1"/>
        <v>256.66666666666669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210</v>
      </c>
      <c r="O57" s="14">
        <f>N57*VLOOKUP('Données projet'!$B$9,Paramètres!$A$1:$I$89,3,0)*VLOOKUP('Données projet'!$B$9,Paramètres!$A$1:$I$89,5,0)</f>
        <v>203.11199999999999</v>
      </c>
      <c r="P57" s="14">
        <f t="shared" si="33"/>
        <v>50.427475336015782</v>
      </c>
      <c r="Q57" s="22">
        <f t="shared" si="53"/>
        <v>441.5812528768941</v>
      </c>
      <c r="R57" s="60">
        <f t="shared" si="0"/>
        <v>734.91458621022741</v>
      </c>
      <c r="S57" s="60">
        <f ca="1">AVERAGE(OFFSET($R$3,0,0,'Données projet'!$E$9+1,1))-AVERAGE(OFFSET($H$3,0,0,'Données projet'!$E$9+1,1))</f>
        <v>456.86147223520601</v>
      </c>
      <c r="T57" s="60">
        <f t="shared" si="34"/>
        <v>244.45149244446094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1.8</v>
      </c>
      <c r="AI57" s="14">
        <f>IF('Données projet'!$A$62&gt;35,AI56+AH57-AQ56,IF(A57&lt;'Données projet'!$A$62,$AF$205^A57,IF(A57='Données projet'!$A$62,'Données projet'!$B$62,AI56+AH57-AQ56)))</f>
        <v>145.20000000000007</v>
      </c>
      <c r="AJ57" s="14">
        <f>AI57*VLOOKUP('Données projet'!$B$10,Paramètres!$A$1:$I$89,3,0)*VLOOKUP('Données projet'!$B$10,Paramètres!$A$1:$I$89,5,0)</f>
        <v>95.135040000000046</v>
      </c>
      <c r="AK57" s="14">
        <f t="shared" si="35"/>
        <v>25.799645298557493</v>
      </c>
      <c r="AL57" s="22">
        <f t="shared" si="4"/>
        <v>210.62791022832104</v>
      </c>
      <c r="AM57" s="60">
        <f t="shared" si="5"/>
        <v>503.96124356165433</v>
      </c>
      <c r="AN57" s="60">
        <f ca="1">AVERAGE(OFFSET($AM$3,0,0,'Données projet'!$E$10+1,1))-AVERAGE(OFFSET($H$3,0,0,'Données projet'!$E$10+1,1))</f>
        <v>170.79567854714986</v>
      </c>
      <c r="AO57" s="60">
        <f t="shared" si="36"/>
        <v>155.92788004111191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7.6</v>
      </c>
      <c r="BD57" s="13">
        <f>IF('Données projet'!$A$88&gt;35,BD56+BC57-BL56,IF(A57&lt;'Données projet'!$A$88,$BA$205^A57,IF(A57='Données projet'!$A$88,'Données projet'!$B$88,BD56+BC57-BL56)))</f>
        <v>258.39999999999998</v>
      </c>
      <c r="BE57" s="14">
        <f>BD57*VLOOKUP('Données projet'!$B$11,Paramètres!$A$1:$I$89,3,0)*VLOOKUP('Données projet'!$B$11,Paramètres!$A$1:$I$89,5,0)</f>
        <v>209.61408</v>
      </c>
      <c r="BF57" s="14">
        <f t="shared" si="37"/>
        <v>51.851243442662593</v>
      </c>
      <c r="BG57" s="22">
        <f t="shared" si="7"/>
        <v>455.38543832930395</v>
      </c>
      <c r="BH57" s="60">
        <f t="shared" si="8"/>
        <v>748.71877166263721</v>
      </c>
      <c r="BI57" s="60">
        <f ca="1">AVERAGE(OFFSET($BH$3,0,0,'Données projet'!$E$11+1,1))-AVERAGE(OFFSET($H$3,0,0,'Données projet'!$E$11+1,1))</f>
        <v>256.19915261735281</v>
      </c>
      <c r="BJ57" s="60">
        <f t="shared" si="38"/>
        <v>297.47246687305056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4.8717948717948731</v>
      </c>
      <c r="BY57" s="13">
        <f>IF('Données projet'!$A$114&gt;35,BY56+BX57-CG56,IF(A57&lt;'Données projet'!$A$114,$BV$205^A57,IF(A57='Données projet'!$A$114,'Données projet'!$B$114,BY56+BX57-CG56)))</f>
        <v>177.82051282051273</v>
      </c>
      <c r="BZ57" s="14">
        <f>BY57*VLOOKUP('Données projet'!$B$12,Paramètres!$A$1:$I$89,3,0)*VLOOKUP('Données projet'!$B$12,Paramètres!$A$1:$I$89,5,0)</f>
        <v>169.21399999999991</v>
      </c>
      <c r="CA57" s="14">
        <f t="shared" si="39"/>
        <v>42.913938280485205</v>
      </c>
      <c r="CB57" s="22">
        <f t="shared" si="10"/>
        <v>369.45615917184494</v>
      </c>
      <c r="CC57" s="60">
        <f t="shared" si="11"/>
        <v>662.78949250517826</v>
      </c>
      <c r="CD57" s="60">
        <f ca="1">AVERAGE(OFFSET($CC$3,0,0,'Données projet'!$E$12+1,1))-AVERAGE(OFFSET($H$3,0,0,'Données projet'!$E$12+1,1))</f>
        <v>353.53401919391234</v>
      </c>
      <c r="CE57" s="60">
        <f t="shared" si="40"/>
        <v>244.7141066773861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</v>
      </c>
      <c r="CT57" s="13">
        <f>IF('Données projet'!$A$140&gt;35,CT56+CS57-DB56,IF(A57&lt;'Données projet'!$A$140,$CQ$205^A57,IF(A57='Données projet'!$A$140,'Données projet'!$B$140,CT56+CS57-DB56)))</f>
        <v>210</v>
      </c>
      <c r="CU57" s="18">
        <f>CT57*VLOOKUP('Données projet'!$B$13,Paramètres!$A$1:$I$89,3,0)*VLOOKUP('Données projet'!$B$13,Paramètres!$A$1:$I$89,5,0)</f>
        <v>176.90400000000002</v>
      </c>
      <c r="CV57" s="14">
        <f t="shared" si="41"/>
        <v>44.632689233663157</v>
      </c>
      <c r="CW57" s="22">
        <f t="shared" si="13"/>
        <v>385.8430670819634</v>
      </c>
      <c r="CX57" s="60">
        <f t="shared" si="14"/>
        <v>679.17640041529671</v>
      </c>
      <c r="CY57" s="60">
        <f ca="1">AVERAGE(OFFSET($CX$3,0,0,'Données projet'!$E$13+1,1))-AVERAGE(OFFSET($H$3,0,0,'Données projet'!$E$13+1,1))</f>
        <v>403.33327536410098</v>
      </c>
      <c r="CZ57" s="60">
        <f t="shared" si="42"/>
        <v>218.26721063098552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6.1199999999999992</v>
      </c>
      <c r="DO57" s="13">
        <f>IF('Données projet'!$A$166&gt;35,DO56+DN57-DW56,IF(A57&lt;'Données projet'!$A$166,$DL$205^A57,IF(A57='Données projet'!$A$166,'Données projet'!$B$166,DO56+DN57-DW56)))</f>
        <v>242.88000000000011</v>
      </c>
      <c r="DP57" s="18">
        <f>DO57*VLOOKUP('Données projet'!$B$14,Paramètres!$A$1:$I$89,3,0)*VLOOKUP('Données projet'!$B$14,Paramètres!$A$1:$I$89,5,0)</f>
        <v>193.2353280000001</v>
      </c>
      <c r="DQ57" s="14">
        <f t="shared" si="43"/>
        <v>48.254533517559842</v>
      </c>
      <c r="DR57" s="22">
        <f t="shared" si="16"/>
        <v>420.59484214308355</v>
      </c>
      <c r="DS57" s="60">
        <f t="shared" si="17"/>
        <v>713.92817547641687</v>
      </c>
      <c r="DT57" s="60">
        <f ca="1">AVERAGE(OFFSET($DS$3,0,0,'Données projet'!$E$14+1,1))-AVERAGE(OFFSET($H$3,0,0,'Données projet'!$E$14+1,1))</f>
        <v>317.13087551964747</v>
      </c>
      <c r="DU57" s="60">
        <f t="shared" si="44"/>
        <v>293.43300041793185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4.7599999999999962</v>
      </c>
      <c r="EJ57" s="13">
        <f>IF('Données projet'!$A$192&gt;35,EJ56+EI57-ER56,IF(A57&lt;'Données projet'!$A$192,$EG$205^A57,IF(A57='Données projet'!$A$192,'Données projet'!$B$192,EJ56+EI57-ER56)))</f>
        <v>193.24000000000018</v>
      </c>
      <c r="EK57" s="18">
        <f>EJ57*VLOOKUP('Données projet'!$B$15,Paramètres!$A$1:$I$89,3,0)*VLOOKUP('Données projet'!$B$15,Paramètres!$A$1:$I$89,5,0)</f>
        <v>153.74174400000015</v>
      </c>
      <c r="EL57" s="14">
        <f t="shared" si="45"/>
        <v>39.427687183679751</v>
      </c>
      <c r="EM57" s="22">
        <f t="shared" si="19"/>
        <v>336.43675931157583</v>
      </c>
      <c r="EN57" s="60">
        <f t="shared" si="20"/>
        <v>629.77009264490914</v>
      </c>
      <c r="EO57" s="60">
        <f ca="1">AVERAGE(OFFSET($EN$3,0,0,'Données projet'!$E$15+1,1))-AVERAGE(OFFSET($H$3,0,0,'Données projet'!$E$15+1,1))</f>
        <v>253.03289960511904</v>
      </c>
      <c r="EP57" s="60">
        <f t="shared" si="46"/>
        <v>236.85088713056018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4.7599999999999962</v>
      </c>
      <c r="FE57" s="13">
        <f>IF('Données projet'!$A$218&gt;35,FE56+FD57-FM56,IF(A57&lt;'Données projet'!$A$218,$FB$205^A57,IF(A57='Données projet'!$A$218,'Données projet'!$B$218,FE56+FD57-FM56)))</f>
        <v>193.24000000000018</v>
      </c>
      <c r="FF57" s="18">
        <f>FE57*VLOOKUP('Données projet'!$B$16,Paramètres!$A$1:$I$89,3,0)*VLOOKUP('Données projet'!$B$16,Paramètres!$A$1:$I$89,5,0)</f>
        <v>168.81446400000019</v>
      </c>
      <c r="FG57" s="14">
        <f t="shared" si="47"/>
        <v>42.824394910906719</v>
      </c>
      <c r="FH57" s="22">
        <f t="shared" si="22"/>
        <v>368.60434593649614</v>
      </c>
      <c r="FI57" s="60">
        <f t="shared" si="23"/>
        <v>661.93767926982946</v>
      </c>
      <c r="FJ57" s="60">
        <f ca="1">AVERAGE(OFFSET($FI$3,0,0,'Données projet'!$E$16+1,1))-AVERAGE(OFFSET($H$3,0,0,'Données projet'!$E$16+1,1))</f>
        <v>274.38315511766132</v>
      </c>
      <c r="FK57" s="60">
        <f t="shared" si="48"/>
        <v>255.96663040027175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>
        <f>VLOOKUP(A57,'Données projet'!$A$243:$I$263,2,0)</f>
        <v>270</v>
      </c>
      <c r="FX57" s="13">
        <f>VLOOKUP(A57,'Données projet'!$A$243:$I$263,9,0)</f>
        <v>15.5</v>
      </c>
      <c r="FY57" s="13">
        <f t="array" ref="FY57">INDEX(FX:FX,MIN(IF(ISNUMBER(FX57:FX253),ROW(FX57:FX253),"")))</f>
        <v>15.5</v>
      </c>
      <c r="FZ57" s="13">
        <f>IF('Données projet'!$A$244&gt;35,FZ56+FY57-GH56,IF(A57&lt;'Données projet'!$A$244,$FW$205^A57,IF(A57='Données projet'!$A$244,'Données projet'!$B$244,FZ56+FY57-GH56)))</f>
        <v>269.99999999999989</v>
      </c>
      <c r="GA57" s="18">
        <f>FZ57*VLOOKUP('Données projet'!$B$17,Paramètres!$A$1:$I$89,3,0)*VLOOKUP('Données projet'!$B$17,Paramètres!$A$1:$I$89,5,0)</f>
        <v>231.65999999999991</v>
      </c>
      <c r="GB57" s="14">
        <f t="shared" si="49"/>
        <v>56.641461975682766</v>
      </c>
      <c r="GC57" s="22">
        <f t="shared" si="25"/>
        <v>502.125046274314</v>
      </c>
      <c r="GD57" s="60">
        <f t="shared" si="26"/>
        <v>795.45837960764732</v>
      </c>
      <c r="GE57" s="60">
        <f ca="1">AVERAGE(OFFSET($GD$3,0,0,'Données projet'!$E$17+1,1))-AVERAGE(OFFSET($H$3,0,0,'Données projet'!$E$17+1,1))</f>
        <v>445.81166342116865</v>
      </c>
      <c r="GF57" s="60">
        <f t="shared" si="50"/>
        <v>230.82970731138215</v>
      </c>
      <c r="GG57" s="16">
        <f>IF(ISNA(VLOOKUP(A57,'Données projet'!$A$243:$I$263,3,0)),0,VLOOKUP(A57,'Données projet'!$A$243:$I$263,3,0))</f>
        <v>6</v>
      </c>
      <c r="GH57" s="16">
        <f>IF(ISNA(VLOOKUP(A57,'Données projet'!$A$243:$I$263,4,0)),0,VLOOKUP(A57,'Données projet'!$A$243:$I$263,4,0))</f>
        <v>64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9.375</v>
      </c>
      <c r="GU57" s="13">
        <f>IF('Données projet'!$A$270&gt;35,GU56+GT57-HC56,IF(A57&lt;'Données projet'!$A$270,$GR$205^A57,IF(A57='Données projet'!$A$270,'Données projet'!$B$270,GU56+GT57-HC56)))</f>
        <v>240.74999999999989</v>
      </c>
      <c r="GV57" s="18">
        <f>GU57*VLOOKUP('Données projet'!$B$18,Paramètres!$A$1:$I$89,3,0)*VLOOKUP('Données projet'!$B$18,Paramètres!$A$1:$I$89,5,0)</f>
        <v>187.78499999999991</v>
      </c>
      <c r="GW57" s="14">
        <f t="shared" si="51"/>
        <v>47.049914090154054</v>
      </c>
      <c r="GX57" s="22">
        <f t="shared" si="28"/>
        <v>409.0041420403515</v>
      </c>
      <c r="GY57" s="60">
        <f t="shared" si="29"/>
        <v>702.33747537368481</v>
      </c>
      <c r="GZ57" s="60">
        <f ca="1">AVERAGE(OFFSET($GY$3,0,0,'Données projet'!$E$18+1,1))-AVERAGE(OFFSET($H$3,0,0,'Données projet'!$E$18+1,1))</f>
        <v>289.19475369871481</v>
      </c>
      <c r="HA57" s="60">
        <f t="shared" si="52"/>
        <v>283.48738729114024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projet'!$B$18,Paramètres!$A$1:$I$89,3,0)*0.475*44/12</f>
        <v>0</v>
      </c>
      <c r="HH57" s="23">
        <f>EXP(-LN(2)/25)*HH56+(1-EXP(-LN(2)/25))/(LN(2)/25)*Calculateur!HC57*Calculateur!HE57*VLOOKUP('Données projet'!$B$18,Paramètres!$A$1:$I$89,3,0)*0.475*44/12</f>
        <v>0</v>
      </c>
      <c r="HI57" s="23">
        <f>EXP(-LN(2)/2)*HI56+(1-EXP(-LN(2)/2))/(LN(2)/2)*HC57*HF57*VLOOKUP('Données projet'!$B$18,Paramètres!$A$1:$I$89,3,0)*0.475*44/12</f>
        <v>0</v>
      </c>
      <c r="HJ57" s="24">
        <f t="shared" si="30"/>
        <v>0</v>
      </c>
    </row>
    <row r="58" spans="1:218" s="5" customFormat="1" x14ac:dyDescent="0.3">
      <c r="A58" s="11">
        <f t="shared" si="31"/>
        <v>55</v>
      </c>
      <c r="B58" s="75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8">
        <f t="shared" si="1"/>
        <v>256.66666666666669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218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218</v>
      </c>
      <c r="O58" s="14">
        <f>N58*VLOOKUP('Données projet'!$B$9,Paramètres!$A$1:$I$89,3,0)*VLOOKUP('Données projet'!$B$9,Paramètres!$A$1:$I$89,5,0)</f>
        <v>210.84960000000001</v>
      </c>
      <c r="P58" s="14">
        <f t="shared" si="33"/>
        <v>52.121201024231922</v>
      </c>
      <c r="Q58" s="22">
        <f t="shared" si="53"/>
        <v>458.00747845053729</v>
      </c>
      <c r="R58" s="60">
        <f t="shared" si="0"/>
        <v>751.34081178387055</v>
      </c>
      <c r="S58" s="60">
        <f ca="1">AVERAGE(OFFSET($R$3,0,0,'Données projet'!$E$9+1,1))-AVERAGE(OFFSET($H$3,0,0,'Données projet'!$E$9+1,1))</f>
        <v>456.86147223520601</v>
      </c>
      <c r="T58" s="60">
        <f t="shared" si="34"/>
        <v>244.45149244446094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42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1.8</v>
      </c>
      <c r="AI58" s="14">
        <f>IF('Données projet'!$A$62&gt;35,AI57+AH58-AQ57,IF(A58&lt;'Données projet'!$A$62,$AF$205^A58,IF(A58='Données projet'!$A$62,'Données projet'!$B$62,AI57+AH58-AQ57)))</f>
        <v>147.00000000000009</v>
      </c>
      <c r="AJ58" s="14">
        <f>AI58*VLOOKUP('Données projet'!$B$10,Paramètres!$A$1:$I$89,3,0)*VLOOKUP('Données projet'!$B$10,Paramètres!$A$1:$I$89,5,0)</f>
        <v>96.314400000000049</v>
      </c>
      <c r="AK58" s="14">
        <f t="shared" si="35"/>
        <v>26.082044404269869</v>
      </c>
      <c r="AL58" s="22">
        <f t="shared" si="4"/>
        <v>213.17380733743676</v>
      </c>
      <c r="AM58" s="60">
        <f t="shared" si="5"/>
        <v>506.50714067077007</v>
      </c>
      <c r="AN58" s="60">
        <f ca="1">AVERAGE(OFFSET($AM$3,0,0,'Données projet'!$E$10+1,1))-AVERAGE(OFFSET($H$3,0,0,'Données projet'!$E$10+1,1))</f>
        <v>170.79567854714986</v>
      </c>
      <c r="AO58" s="60">
        <f t="shared" si="36"/>
        <v>155.92788004111191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266</v>
      </c>
      <c r="BB58" s="13">
        <f>VLOOKUP(A58,'Données projet'!$A$87:$I$107,9,0)</f>
        <v>7.6</v>
      </c>
      <c r="BC58" s="13">
        <f t="array" ref="BC58">INDEX(BB:BB,MIN(IF(ISNUMBER(BB58:BB254),ROW(BB58:BB254),"")))</f>
        <v>7.6</v>
      </c>
      <c r="BD58" s="13">
        <f>IF('Données projet'!$A$88&gt;35,BD57+BC58-BL57,IF(A58&lt;'Données projet'!$A$88,$BA$205^A58,IF(A58='Données projet'!$A$88,'Données projet'!$B$88,BD57+BC58-BL57)))</f>
        <v>266</v>
      </c>
      <c r="BE58" s="14">
        <f>BD58*VLOOKUP('Données projet'!$B$11,Paramètres!$A$1:$I$89,3,0)*VLOOKUP('Données projet'!$B$11,Paramètres!$A$1:$I$89,5,0)</f>
        <v>215.7792</v>
      </c>
      <c r="BF58" s="14">
        <f t="shared" si="37"/>
        <v>53.196483976998607</v>
      </c>
      <c r="BG58" s="22">
        <f t="shared" si="7"/>
        <v>468.46598292660588</v>
      </c>
      <c r="BH58" s="60">
        <f t="shared" si="8"/>
        <v>761.79931625993913</v>
      </c>
      <c r="BI58" s="60">
        <f ca="1">AVERAGE(OFFSET($BH$3,0,0,'Données projet'!$E$11+1,1))-AVERAGE(OFFSET($H$3,0,0,'Données projet'!$E$11+1,1))</f>
        <v>256.19915261735281</v>
      </c>
      <c r="BJ58" s="60">
        <f t="shared" si="38"/>
        <v>297.47246687305056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182.69230769230768</v>
      </c>
      <c r="BW58" s="13">
        <f>VLOOKUP(A58,'Données projet'!$A$113:$I$133,9,0)</f>
        <v>4.8717948717948731</v>
      </c>
      <c r="BX58" s="13">
        <f t="array" ref="BX58">INDEX(BW:BW,MIN(IF(ISNUMBER(BW58:BW254),ROW(BW58:BW254),"")))</f>
        <v>4.8717948717948731</v>
      </c>
      <c r="BY58" s="13">
        <f>IF('Données projet'!$A$114&gt;35,BY57+BX58-CG57,IF(A58&lt;'Données projet'!$A$114,$BV$205^A58,IF(A58='Données projet'!$A$114,'Données projet'!$B$114,BY57+BX58-CG57)))</f>
        <v>182.69230769230759</v>
      </c>
      <c r="BZ58" s="14">
        <f>BY58*VLOOKUP('Données projet'!$B$12,Paramètres!$A$1:$I$89,3,0)*VLOOKUP('Données projet'!$B$12,Paramètres!$A$1:$I$89,5,0)</f>
        <v>173.84999999999991</v>
      </c>
      <c r="CA58" s="14">
        <f t="shared" si="39"/>
        <v>43.951168452592761</v>
      </c>
      <c r="CB58" s="22">
        <f t="shared" si="10"/>
        <v>379.33703505493219</v>
      </c>
      <c r="CC58" s="60">
        <f t="shared" si="11"/>
        <v>672.6703683882655</v>
      </c>
      <c r="CD58" s="60">
        <f ca="1">AVERAGE(OFFSET($CC$3,0,0,'Données projet'!$E$12+1,1))-AVERAGE(OFFSET($H$3,0,0,'Données projet'!$E$12+1,1))</f>
        <v>353.53401919391234</v>
      </c>
      <c r="CE58" s="60">
        <f t="shared" si="40"/>
        <v>244.7141066773861</v>
      </c>
      <c r="CF58" s="16">
        <f>IF(ISNA(VLOOKUP(A58,'Données projet'!$A$113:$I$133,3,0)),0,VLOOKUP(A58,'Données projet'!$A$113:$I$133,3,0))</f>
        <v>4</v>
      </c>
      <c r="CG58" s="16">
        <f>IF(ISNA(VLOOKUP(A58,'Données projet'!$A$113:$I$133,4,0)),0,VLOOKUP(A58,'Données projet'!$A$113:$I$133,4,0))</f>
        <v>28.205128205128204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218</v>
      </c>
      <c r="CR58" s="13">
        <f>VLOOKUP(A58,'Données projet'!$A$139:$I$159,9,0)</f>
        <v>8</v>
      </c>
      <c r="CS58" s="13">
        <f t="array" ref="CS58">INDEX(CR:CR,MIN(IF(ISNUMBER(CR58:CR254),ROW(CR58:CR254),"")))</f>
        <v>8</v>
      </c>
      <c r="CT58" s="13">
        <f>IF('Données projet'!$A$140&gt;35,CT57+CS58-DB57,IF(A58&lt;'Données projet'!$A$140,$CQ$205^A58,IF(A58='Données projet'!$A$140,'Données projet'!$B$140,CT57+CS58-DB57)))</f>
        <v>218</v>
      </c>
      <c r="CU58" s="18">
        <f>CT58*VLOOKUP('Données projet'!$B$13,Paramètres!$A$1:$I$89,3,0)*VLOOKUP('Données projet'!$B$13,Paramètres!$A$1:$I$89,5,0)</f>
        <v>183.64320000000004</v>
      </c>
      <c r="CV58" s="14">
        <f t="shared" si="41"/>
        <v>46.131783364105026</v>
      </c>
      <c r="CW58" s="22">
        <f t="shared" si="13"/>
        <v>400.19142935914965</v>
      </c>
      <c r="CX58" s="60">
        <f t="shared" si="14"/>
        <v>693.52476269248291</v>
      </c>
      <c r="CY58" s="60">
        <f ca="1">AVERAGE(OFFSET($CX$3,0,0,'Données projet'!$E$13+1,1))-AVERAGE(OFFSET($H$3,0,0,'Données projet'!$E$13+1,1))</f>
        <v>403.33327536410098</v>
      </c>
      <c r="CZ58" s="60">
        <f t="shared" si="42"/>
        <v>218.26721063098552</v>
      </c>
      <c r="DA58" s="16">
        <f>IF(ISNA(VLOOKUP(A58,'Données projet'!$A$139:$I$159,3,0)),0,VLOOKUP(A58,'Données projet'!$A$139:$I$159,3,0))</f>
        <v>4</v>
      </c>
      <c r="DB58" s="16">
        <f>IF(ISNA(VLOOKUP(A58,'Données projet'!$A$139:$I$159,4,0)),0,VLOOKUP(A58,'Données projet'!$A$139:$I$159,4,0))</f>
        <v>42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249</v>
      </c>
      <c r="DM58" s="13">
        <f>VLOOKUP(A58,'Données projet'!$A$165:$I$185,9,0)</f>
        <v>6.1199999999999992</v>
      </c>
      <c r="DN58" s="13">
        <f t="array" ref="DN58">INDEX(DM:DM,MIN(IF(ISNUMBER(DM58:DM254),ROW(DM58:DM254),"")))</f>
        <v>6.1199999999999992</v>
      </c>
      <c r="DO58" s="13">
        <f>IF('Données projet'!$A$166&gt;35,DO57+DN58-DW57,IF(A58&lt;'Données projet'!$A$166,$DL$205^A58,IF(A58='Données projet'!$A$166,'Données projet'!$B$166,DO57+DN58-DW57)))</f>
        <v>249.00000000000011</v>
      </c>
      <c r="DP58" s="18">
        <f>DO58*VLOOKUP('Données projet'!$B$14,Paramètres!$A$1:$I$89,3,0)*VLOOKUP('Données projet'!$B$14,Paramètres!$A$1:$I$89,5,0)</f>
        <v>198.10440000000011</v>
      </c>
      <c r="DQ58" s="14">
        <f t="shared" si="43"/>
        <v>49.327341602622013</v>
      </c>
      <c r="DR58" s="22">
        <f t="shared" si="16"/>
        <v>430.94361662456686</v>
      </c>
      <c r="DS58" s="60">
        <f t="shared" si="17"/>
        <v>724.27694995790011</v>
      </c>
      <c r="DT58" s="60">
        <f ca="1">AVERAGE(OFFSET($DS$3,0,0,'Données projet'!$E$14+1,1))-AVERAGE(OFFSET($H$3,0,0,'Données projet'!$E$14+1,1))</f>
        <v>317.13087551964747</v>
      </c>
      <c r="DU58" s="60">
        <f t="shared" si="44"/>
        <v>293.43300041793185</v>
      </c>
      <c r="DV58" s="16">
        <f>IF(ISNA(VLOOKUP(A58,'Données projet'!$A$165:$I$185,3,0)),0,VLOOKUP(A58,'Données projet'!$A$165:$I$185,3,0))</f>
        <v>4</v>
      </c>
      <c r="DW58" s="16">
        <f>IF(ISNA(VLOOKUP(A58,'Données projet'!$A$165:$I$185,4,0)),0,VLOOKUP(A58,'Données projet'!$A$165:$I$185,4,0))</f>
        <v>29.9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198</v>
      </c>
      <c r="EH58" s="13">
        <f>VLOOKUP(A58,'Données projet'!$A$191:$I$211,9,0)</f>
        <v>4.7599999999999962</v>
      </c>
      <c r="EI58" s="13">
        <f t="array" ref="EI58">INDEX(EH:EH,MIN(IF(ISNUMBER(EH58:EH254),ROW(EH58:EH254),"")))</f>
        <v>4.7599999999999962</v>
      </c>
      <c r="EJ58" s="13">
        <f>IF('Données projet'!$A$192&gt;35,EJ57+EI58-ER57,IF(A58&lt;'Données projet'!$A$192,$EG$205^A58,IF(A58='Données projet'!$A$192,'Données projet'!$B$192,EJ57+EI58-ER57)))</f>
        <v>198.00000000000017</v>
      </c>
      <c r="EK58" s="18">
        <f>EJ58*VLOOKUP('Données projet'!$B$15,Paramètres!$A$1:$I$89,3,0)*VLOOKUP('Données projet'!$B$15,Paramètres!$A$1:$I$89,5,0)</f>
        <v>157.52880000000013</v>
      </c>
      <c r="EL58" s="14">
        <f t="shared" si="45"/>
        <v>40.284625411479013</v>
      </c>
      <c r="EM58" s="22">
        <f t="shared" si="19"/>
        <v>344.52504925832619</v>
      </c>
      <c r="EN58" s="60">
        <f t="shared" si="20"/>
        <v>637.85838259165951</v>
      </c>
      <c r="EO58" s="60">
        <f ca="1">AVERAGE(OFFSET($EN$3,0,0,'Données projet'!$E$15+1,1))-AVERAGE(OFFSET($H$3,0,0,'Données projet'!$E$15+1,1))</f>
        <v>253.03289960511904</v>
      </c>
      <c r="EP58" s="60">
        <f t="shared" si="46"/>
        <v>236.85088713056018</v>
      </c>
      <c r="EQ58" s="16">
        <f>IF(ISNA(VLOOKUP(A58,'Données projet'!$A$191:$I$211,3,0)),0,VLOOKUP(A58,'Données projet'!$A$191:$I$211,3,0))</f>
        <v>4</v>
      </c>
      <c r="ER58" s="16">
        <f>IF(ISNA(VLOOKUP(A58,'Données projet'!$A$191:$I$211,4,0)),0,VLOOKUP(A58,'Données projet'!$A$191:$I$211,4,0))</f>
        <v>23.8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198</v>
      </c>
      <c r="FC58" s="13">
        <f>VLOOKUP(A58,'Données projet'!$A$217:$I$237,9,0)</f>
        <v>4.7599999999999962</v>
      </c>
      <c r="FD58" s="13">
        <f t="array" ref="FD58">INDEX(FC:FC,MIN(IF(ISNUMBER(FC58:FC254),ROW(FC58:FC254),"")))</f>
        <v>4.7599999999999962</v>
      </c>
      <c r="FE58" s="13">
        <f>IF('Données projet'!$A$218&gt;35,FE57+FD58-FM57,IF(A58&lt;'Données projet'!$A$218,$FB$205^A58,IF(A58='Données projet'!$A$218,'Données projet'!$B$218,FE57+FD58-FM57)))</f>
        <v>198.00000000000017</v>
      </c>
      <c r="FF58" s="18">
        <f>FE58*VLOOKUP('Données projet'!$B$16,Paramètres!$A$1:$I$89,3,0)*VLOOKUP('Données projet'!$B$16,Paramètres!$A$1:$I$89,5,0)</f>
        <v>172.97280000000018</v>
      </c>
      <c r="FG58" s="14">
        <f t="shared" si="47"/>
        <v>43.755158638197322</v>
      </c>
      <c r="FH58" s="22">
        <f t="shared" si="22"/>
        <v>377.4678612948606</v>
      </c>
      <c r="FI58" s="60">
        <f t="shared" si="23"/>
        <v>670.80119462819391</v>
      </c>
      <c r="FJ58" s="60">
        <f ca="1">AVERAGE(OFFSET($FI$3,0,0,'Données projet'!$E$16+1,1))-AVERAGE(OFFSET($H$3,0,0,'Données projet'!$E$16+1,1))</f>
        <v>274.38315511766132</v>
      </c>
      <c r="FK58" s="60">
        <f t="shared" si="48"/>
        <v>255.96663040027175</v>
      </c>
      <c r="FL58" s="16">
        <f>IF(ISNA(VLOOKUP(A58,'Données projet'!$A$217:$I$237,3,0)),0,VLOOKUP(A58,'Données projet'!$A$217:$I$237,3,0))</f>
        <v>4</v>
      </c>
      <c r="FM58" s="16">
        <f>IF(ISNA(VLOOKUP(A58,'Données projet'!$A$217:$I$237,4,0)),0,VLOOKUP(A58,'Données projet'!$A$217:$I$237,4,0))</f>
        <v>23.8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14.833333333333334</v>
      </c>
      <c r="FZ58" s="13">
        <f>IF('Données projet'!$A$244&gt;35,FZ57+FY58-GH57,IF(A58&lt;'Données projet'!$A$244,$FW$205^A58,IF(A58='Données projet'!$A$244,'Données projet'!$B$244,FZ57+FY58-GH57)))</f>
        <v>220.8333333333332</v>
      </c>
      <c r="GA58" s="18">
        <f>FZ58*VLOOKUP('Données projet'!$B$17,Paramètres!$A$1:$I$89,3,0)*VLOOKUP('Données projet'!$B$17,Paramètres!$A$1:$I$89,5,0)</f>
        <v>189.47499999999991</v>
      </c>
      <c r="GB58" s="14">
        <f t="shared" si="49"/>
        <v>47.423864120172716</v>
      </c>
      <c r="GC58" s="22">
        <f t="shared" si="25"/>
        <v>412.59885500930062</v>
      </c>
      <c r="GD58" s="60">
        <f t="shared" si="26"/>
        <v>705.93218834263394</v>
      </c>
      <c r="GE58" s="60">
        <f ca="1">AVERAGE(OFFSET($GD$3,0,0,'Données projet'!$E$17+1,1))-AVERAGE(OFFSET($H$3,0,0,'Données projet'!$E$17+1,1))</f>
        <v>445.81166342116865</v>
      </c>
      <c r="GF58" s="60">
        <f t="shared" si="50"/>
        <v>230.82970731138215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9.375</v>
      </c>
      <c r="GU58" s="13">
        <f>IF('Données projet'!$A$270&gt;35,GU57+GT58-HC57,IF(A58&lt;'Données projet'!$A$270,$GR$205^A58,IF(A58='Données projet'!$A$270,'Données projet'!$B$270,GU57+GT58-HC57)))</f>
        <v>250.12499999999989</v>
      </c>
      <c r="GV58" s="18">
        <f>GU58*VLOOKUP('Données projet'!$B$18,Paramètres!$A$1:$I$89,3,0)*VLOOKUP('Données projet'!$B$18,Paramètres!$A$1:$I$89,5,0)</f>
        <v>195.09749999999991</v>
      </c>
      <c r="GW58" s="14">
        <f t="shared" si="51"/>
        <v>48.66519532492579</v>
      </c>
      <c r="GX58" s="22">
        <f t="shared" si="28"/>
        <v>424.55336102424553</v>
      </c>
      <c r="GY58" s="60">
        <f t="shared" si="29"/>
        <v>717.88669435757879</v>
      </c>
      <c r="GZ58" s="60">
        <f ca="1">AVERAGE(OFFSET($GY$3,0,0,'Données projet'!$E$18+1,1))-AVERAGE(OFFSET($H$3,0,0,'Données projet'!$E$18+1,1))</f>
        <v>289.19475369871481</v>
      </c>
      <c r="HA58" s="60">
        <f t="shared" si="52"/>
        <v>283.48738729114024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projet'!$B$18,Paramètres!$A$1:$I$89,3,0)*0.475*44/12</f>
        <v>0</v>
      </c>
      <c r="HH58" s="23">
        <f>EXP(-LN(2)/25)*HH57+(1-EXP(-LN(2)/25))/(LN(2)/25)*Calculateur!HC58*Calculateur!HE58*VLOOKUP('Données projet'!$B$18,Paramètres!$A$1:$I$89,3,0)*0.475*44/12</f>
        <v>0</v>
      </c>
      <c r="HI58" s="23">
        <f>EXP(-LN(2)/2)*HI57+(1-EXP(-LN(2)/2))/(LN(2)/2)*HC58*HF58*VLOOKUP('Données projet'!$B$18,Paramètres!$A$1:$I$89,3,0)*0.475*44/12</f>
        <v>0</v>
      </c>
      <c r="HJ58" s="24">
        <f t="shared" si="30"/>
        <v>0</v>
      </c>
    </row>
    <row r="59" spans="1:218" s="5" customFormat="1" x14ac:dyDescent="0.3">
      <c r="A59" s="11">
        <f t="shared" si="31"/>
        <v>56</v>
      </c>
      <c r="B59" s="75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8">
        <f t="shared" si="1"/>
        <v>256.66666666666669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183.6</v>
      </c>
      <c r="O59" s="14">
        <f>N59*VLOOKUP('Données projet'!$B$9,Paramètres!$A$1:$I$89,3,0)*VLOOKUP('Données projet'!$B$9,Paramètres!$A$1:$I$89,5,0)</f>
        <v>177.57792000000001</v>
      </c>
      <c r="P59" s="14">
        <f t="shared" si="33"/>
        <v>44.782893853597976</v>
      </c>
      <c r="Q59" s="22">
        <f t="shared" si="53"/>
        <v>387.27841746168315</v>
      </c>
      <c r="R59" s="60">
        <f t="shared" si="0"/>
        <v>680.61175079501641</v>
      </c>
      <c r="S59" s="60">
        <f ca="1">AVERAGE(OFFSET($R$3,0,0,'Données projet'!$E$9+1,1))-AVERAGE(OFFSET($H$3,0,0,'Données projet'!$E$9+1,1))</f>
        <v>456.86147223520601</v>
      </c>
      <c r="T59" s="60">
        <f t="shared" si="34"/>
        <v>244.45149244446094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1.8</v>
      </c>
      <c r="AI59" s="14">
        <f>IF('Données projet'!$A$62&gt;35,AI58+AH59-AQ58,IF(A59&lt;'Données projet'!$A$62,$AF$205^A59,IF(A59='Données projet'!$A$62,'Données projet'!$B$62,AI58+AH59-AQ58)))</f>
        <v>148.8000000000001</v>
      </c>
      <c r="AJ59" s="14">
        <f>AI59*VLOOKUP('Données projet'!$B$10,Paramètres!$A$1:$I$89,3,0)*VLOOKUP('Données projet'!$B$10,Paramètres!$A$1:$I$89,5,0)</f>
        <v>97.493760000000066</v>
      </c>
      <c r="AK59" s="14">
        <f t="shared" si="35"/>
        <v>26.364041280888895</v>
      </c>
      <c r="AL59" s="22">
        <f t="shared" si="4"/>
        <v>215.71900389754828</v>
      </c>
      <c r="AM59" s="60">
        <f t="shared" si="5"/>
        <v>509.05233723088156</v>
      </c>
      <c r="AN59" s="60">
        <f ca="1">AVERAGE(OFFSET($AM$3,0,0,'Données projet'!$E$10+1,1))-AVERAGE(OFFSET($H$3,0,0,'Données projet'!$E$10+1,1))</f>
        <v>170.79567854714986</v>
      </c>
      <c r="AO59" s="60">
        <f t="shared" si="36"/>
        <v>155.92788004111191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7.4</v>
      </c>
      <c r="BD59" s="13">
        <f>IF('Données projet'!$A$88&gt;35,BD58+BC59-BL58,IF(A59&lt;'Données projet'!$A$88,$BA$205^A59,IF(A59='Données projet'!$A$88,'Données projet'!$B$88,BD58+BC59-BL58)))</f>
        <v>273.39999999999998</v>
      </c>
      <c r="BE59" s="14">
        <f>BD59*VLOOKUP('Données projet'!$B$11,Paramètres!$A$1:$I$89,3,0)*VLOOKUP('Données projet'!$B$11,Paramètres!$A$1:$I$89,5,0)</f>
        <v>221.78208000000001</v>
      </c>
      <c r="BF59" s="14">
        <f t="shared" si="37"/>
        <v>54.502029950220781</v>
      </c>
      <c r="BG59" s="22">
        <f t="shared" si="7"/>
        <v>481.19482482996779</v>
      </c>
      <c r="BH59" s="60">
        <f t="shared" si="8"/>
        <v>774.5281581633011</v>
      </c>
      <c r="BI59" s="60">
        <f ca="1">AVERAGE(OFFSET($BH$3,0,0,'Données projet'!$E$11+1,1))-AVERAGE(OFFSET($H$3,0,0,'Données projet'!$E$11+1,1))</f>
        <v>256.19915261735281</v>
      </c>
      <c r="BJ59" s="60">
        <f t="shared" si="38"/>
        <v>297.47246687305056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4.7435897435897463</v>
      </c>
      <c r="BY59" s="13">
        <f>IF('Données projet'!$A$114&gt;35,BY58+BX59-CG58,IF(A59&lt;'Données projet'!$A$114,$BV$205^A59,IF(A59='Données projet'!$A$114,'Données projet'!$B$114,BY58+BX59-CG58)))</f>
        <v>159.23076923076914</v>
      </c>
      <c r="BZ59" s="14">
        <f>BY59*VLOOKUP('Données projet'!$B$12,Paramètres!$A$1:$I$89,3,0)*VLOOKUP('Données projet'!$B$12,Paramètres!$A$1:$I$89,5,0)</f>
        <v>151.52399999999992</v>
      </c>
      <c r="CA59" s="14">
        <f t="shared" si="39"/>
        <v>38.924716067948651</v>
      </c>
      <c r="CB59" s="22">
        <f t="shared" si="10"/>
        <v>331.69818048501043</v>
      </c>
      <c r="CC59" s="60">
        <f t="shared" si="11"/>
        <v>625.03151381834368</v>
      </c>
      <c r="CD59" s="60">
        <f ca="1">AVERAGE(OFFSET($CC$3,0,0,'Données projet'!$E$12+1,1))-AVERAGE(OFFSET($H$3,0,0,'Données projet'!$E$12+1,1))</f>
        <v>353.53401919391234</v>
      </c>
      <c r="CE59" s="60">
        <f t="shared" si="40"/>
        <v>244.7141066773861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7.6</v>
      </c>
      <c r="CT59" s="13">
        <f>IF('Données projet'!$A$140&gt;35,CT58+CS59-DB58,IF(A59&lt;'Données projet'!$A$140,$CQ$205^A59,IF(A59='Données projet'!$A$140,'Données projet'!$B$140,CT58+CS59-DB58)))</f>
        <v>183.6</v>
      </c>
      <c r="CU59" s="18">
        <f>CT59*VLOOKUP('Données projet'!$B$13,Paramètres!$A$1:$I$89,3,0)*VLOOKUP('Données projet'!$B$13,Paramètres!$A$1:$I$89,5,0)</f>
        <v>154.66464000000002</v>
      </c>
      <c r="CV59" s="14">
        <f t="shared" si="41"/>
        <v>39.636745068698936</v>
      </c>
      <c r="CW59" s="22">
        <f t="shared" si="13"/>
        <v>338.40824566131732</v>
      </c>
      <c r="CX59" s="60">
        <f t="shared" si="14"/>
        <v>631.74157899465058</v>
      </c>
      <c r="CY59" s="60">
        <f ca="1">AVERAGE(OFFSET($CX$3,0,0,'Données projet'!$E$13+1,1))-AVERAGE(OFFSET($H$3,0,0,'Données projet'!$E$13+1,1))</f>
        <v>403.33327536410098</v>
      </c>
      <c r="CZ59" s="60">
        <f t="shared" si="42"/>
        <v>218.26721063098552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5.1600000000000019</v>
      </c>
      <c r="DO59" s="13">
        <f>IF('Données projet'!$A$166&gt;35,DO58+DN59-DW58,IF(A59&lt;'Données projet'!$A$166,$DL$205^A59,IF(A59='Données projet'!$A$166,'Données projet'!$B$166,DO58+DN59-DW58)))</f>
        <v>224.2600000000001</v>
      </c>
      <c r="DP59" s="18">
        <f>DO59*VLOOKUP('Données projet'!$B$14,Paramètres!$A$1:$I$89,3,0)*VLOOKUP('Données projet'!$B$14,Paramètres!$A$1:$I$89,5,0)</f>
        <v>178.42125600000011</v>
      </c>
      <c r="DQ59" s="14">
        <f t="shared" si="43"/>
        <v>44.970764830354831</v>
      </c>
      <c r="DR59" s="22">
        <f t="shared" si="16"/>
        <v>389.07443627953484</v>
      </c>
      <c r="DS59" s="60">
        <f t="shared" si="17"/>
        <v>682.40776961286815</v>
      </c>
      <c r="DT59" s="60">
        <f ca="1">AVERAGE(OFFSET($DS$3,0,0,'Données projet'!$E$14+1,1))-AVERAGE(OFFSET($H$3,0,0,'Données projet'!$E$14+1,1))</f>
        <v>317.13087551964747</v>
      </c>
      <c r="DU59" s="60">
        <f t="shared" si="44"/>
        <v>293.43300041793185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4.0600000000000023</v>
      </c>
      <c r="EJ59" s="13">
        <f>IF('Données projet'!$A$192&gt;35,EJ58+EI59-ER58,IF(A59&lt;'Données projet'!$A$192,$EG$205^A59,IF(A59='Données projet'!$A$192,'Données projet'!$B$192,EJ58+EI59-ER58)))</f>
        <v>178.26000000000016</v>
      </c>
      <c r="EK59" s="18">
        <f>EJ59*VLOOKUP('Données projet'!$B$15,Paramètres!$A$1:$I$89,3,0)*VLOOKUP('Données projet'!$B$15,Paramètres!$A$1:$I$89,5,0)</f>
        <v>141.82365600000014</v>
      </c>
      <c r="EL59" s="14">
        <f t="shared" si="45"/>
        <v>36.714464278042257</v>
      </c>
      <c r="EM59" s="22">
        <f t="shared" si="19"/>
        <v>310.95389281759049</v>
      </c>
      <c r="EN59" s="60">
        <f t="shared" si="20"/>
        <v>604.28722615092374</v>
      </c>
      <c r="EO59" s="60">
        <f ca="1">AVERAGE(OFFSET($EN$3,0,0,'Données projet'!$E$15+1,1))-AVERAGE(OFFSET($H$3,0,0,'Données projet'!$E$15+1,1))</f>
        <v>253.03289960511904</v>
      </c>
      <c r="EP59" s="60">
        <f t="shared" si="46"/>
        <v>236.85088713056018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4.0600000000000023</v>
      </c>
      <c r="FE59" s="13">
        <f>IF('Données projet'!$A$218&gt;35,FE58+FD59-FM58,IF(A59&lt;'Données projet'!$A$218,$FB$205^A59,IF(A59='Données projet'!$A$218,'Données projet'!$B$218,FE58+FD59-FM58)))</f>
        <v>178.26000000000016</v>
      </c>
      <c r="FF59" s="18">
        <f>FE59*VLOOKUP('Données projet'!$B$16,Paramètres!$A$1:$I$89,3,0)*VLOOKUP('Données projet'!$B$16,Paramètres!$A$1:$I$89,5,0)</f>
        <v>155.72793600000014</v>
      </c>
      <c r="FG59" s="14">
        <f t="shared" si="47"/>
        <v>39.87742699338623</v>
      </c>
      <c r="FH59" s="22">
        <f t="shared" si="22"/>
        <v>340.67934054681456</v>
      </c>
      <c r="FI59" s="60">
        <f t="shared" si="23"/>
        <v>634.01267388014787</v>
      </c>
      <c r="FJ59" s="60">
        <f ca="1">AVERAGE(OFFSET($FI$3,0,0,'Données projet'!$E$16+1,1))-AVERAGE(OFFSET($H$3,0,0,'Données projet'!$E$16+1,1))</f>
        <v>274.38315511766132</v>
      </c>
      <c r="FK59" s="60">
        <f t="shared" si="48"/>
        <v>255.96663040027175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14.833333333333334</v>
      </c>
      <c r="FZ59" s="13">
        <f>IF('Données projet'!$A$244&gt;35,FZ58+FY59-GH58,IF(A59&lt;'Données projet'!$A$244,$FW$205^A59,IF(A59='Données projet'!$A$244,'Données projet'!$B$244,FZ58+FY59-GH58)))</f>
        <v>235.66666666666654</v>
      </c>
      <c r="GA59" s="18">
        <f>FZ59*VLOOKUP('Données projet'!$B$17,Paramètres!$A$1:$I$89,3,0)*VLOOKUP('Données projet'!$B$17,Paramètres!$A$1:$I$89,5,0)</f>
        <v>202.20199999999994</v>
      </c>
      <c r="GB59" s="14">
        <f t="shared" si="49"/>
        <v>50.227791845116698</v>
      </c>
      <c r="GC59" s="22">
        <f t="shared" si="25"/>
        <v>439.6485541302448</v>
      </c>
      <c r="GD59" s="60">
        <f t="shared" si="26"/>
        <v>732.98188746357812</v>
      </c>
      <c r="GE59" s="60">
        <f ca="1">AVERAGE(OFFSET($GD$3,0,0,'Données projet'!$E$17+1,1))-AVERAGE(OFFSET($H$3,0,0,'Données projet'!$E$17+1,1))</f>
        <v>445.81166342116865</v>
      </c>
      <c r="GF59" s="60">
        <f t="shared" si="50"/>
        <v>230.82970731138215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9.375</v>
      </c>
      <c r="GU59" s="13">
        <f>IF('Données projet'!$A$270&gt;35,GU58+GT59-HC58,IF(A59&lt;'Données projet'!$A$270,$GR$205^A59,IF(A59='Données projet'!$A$270,'Données projet'!$B$270,GU58+GT59-HC58)))</f>
        <v>259.49999999999989</v>
      </c>
      <c r="GV59" s="18">
        <f>GU59*VLOOKUP('Données projet'!$B$18,Paramètres!$A$1:$I$89,3,0)*VLOOKUP('Données projet'!$B$18,Paramètres!$A$1:$I$89,5,0)</f>
        <v>202.40999999999991</v>
      </c>
      <c r="GW59" s="14">
        <f t="shared" si="51"/>
        <v>50.273442991661817</v>
      </c>
      <c r="GX59" s="22">
        <f t="shared" si="28"/>
        <v>440.09032987714414</v>
      </c>
      <c r="GY59" s="60">
        <f t="shared" si="29"/>
        <v>733.42366321047746</v>
      </c>
      <c r="GZ59" s="60">
        <f ca="1">AVERAGE(OFFSET($GY$3,0,0,'Données projet'!$E$18+1,1))-AVERAGE(OFFSET($H$3,0,0,'Données projet'!$E$18+1,1))</f>
        <v>289.19475369871481</v>
      </c>
      <c r="HA59" s="60">
        <f t="shared" si="52"/>
        <v>283.48738729114024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projet'!$B$18,Paramètres!$A$1:$I$89,3,0)*0.475*44/12</f>
        <v>0</v>
      </c>
      <c r="HH59" s="23">
        <f>EXP(-LN(2)/25)*HH58+(1-EXP(-LN(2)/25))/(LN(2)/25)*Calculateur!HC59*Calculateur!HE59*VLOOKUP('Données projet'!$B$18,Paramètres!$A$1:$I$89,3,0)*0.475*44/12</f>
        <v>0</v>
      </c>
      <c r="HI59" s="23">
        <f>EXP(-LN(2)/2)*HI58+(1-EXP(-LN(2)/2))/(LN(2)/2)*HC59*HF59*VLOOKUP('Données projet'!$B$18,Paramètres!$A$1:$I$89,3,0)*0.475*44/12</f>
        <v>0</v>
      </c>
      <c r="HJ59" s="24">
        <f t="shared" si="30"/>
        <v>0</v>
      </c>
    </row>
    <row r="60" spans="1:218" s="5" customFormat="1" x14ac:dyDescent="0.3">
      <c r="A60" s="11">
        <f t="shared" si="31"/>
        <v>57</v>
      </c>
      <c r="B60" s="75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8">
        <f t="shared" si="1"/>
        <v>256.66666666666669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191.2</v>
      </c>
      <c r="O60" s="14">
        <f>N60*VLOOKUP('Données projet'!$B$9,Paramètres!$A$1:$I$89,3,0)*VLOOKUP('Données projet'!$B$9,Paramètres!$A$1:$I$89,5,0)</f>
        <v>184.92864</v>
      </c>
      <c r="P60" s="14">
        <f t="shared" si="33"/>
        <v>46.416987887800225</v>
      </c>
      <c r="Q60" s="22">
        <f t="shared" si="53"/>
        <v>402.92696857125202</v>
      </c>
      <c r="R60" s="60">
        <f t="shared" si="0"/>
        <v>696.26030190458528</v>
      </c>
      <c r="S60" s="60">
        <f ca="1">AVERAGE(OFFSET($R$3,0,0,'Données projet'!$E$9+1,1))-AVERAGE(OFFSET($H$3,0,0,'Données projet'!$E$9+1,1))</f>
        <v>456.86147223520601</v>
      </c>
      <c r="T60" s="60">
        <f t="shared" si="34"/>
        <v>244.45149244446094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1.8</v>
      </c>
      <c r="AI60" s="14">
        <f>IF('Données projet'!$A$62&gt;35,AI59+AH60-AQ59,IF(A60&lt;'Données projet'!$A$62,$AF$205^A60,IF(A60='Données projet'!$A$62,'Données projet'!$B$62,AI59+AH60-AQ59)))</f>
        <v>150.60000000000011</v>
      </c>
      <c r="AJ60" s="14">
        <f>AI60*VLOOKUP('Données projet'!$B$10,Paramètres!$A$1:$I$89,3,0)*VLOOKUP('Données projet'!$B$10,Paramètres!$A$1:$I$89,5,0)</f>
        <v>98.673120000000068</v>
      </c>
      <c r="AK60" s="14">
        <f t="shared" si="35"/>
        <v>26.645641356897194</v>
      </c>
      <c r="AL60" s="22">
        <f t="shared" si="4"/>
        <v>218.26350936326273</v>
      </c>
      <c r="AM60" s="60">
        <f t="shared" si="5"/>
        <v>511.59684269659601</v>
      </c>
      <c r="AN60" s="60">
        <f ca="1">AVERAGE(OFFSET($AM$3,0,0,'Données projet'!$E$10+1,1))-AVERAGE(OFFSET($H$3,0,0,'Données projet'!$E$10+1,1))</f>
        <v>170.79567854714986</v>
      </c>
      <c r="AO60" s="60">
        <f t="shared" si="36"/>
        <v>155.92788004111191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7.4</v>
      </c>
      <c r="BD60" s="13">
        <f>IF('Données projet'!$A$88&gt;35,BD59+BC60-BL59,IF(A60&lt;'Données projet'!$A$88,$BA$205^A60,IF(A60='Données projet'!$A$88,'Données projet'!$B$88,BD59+BC60-BL59)))</f>
        <v>280.79999999999995</v>
      </c>
      <c r="BE60" s="14">
        <f>BD60*VLOOKUP('Données projet'!$B$11,Paramètres!$A$1:$I$89,3,0)*VLOOKUP('Données projet'!$B$11,Paramètres!$A$1:$I$89,5,0)</f>
        <v>227.78495999999998</v>
      </c>
      <c r="BF60" s="14">
        <f t="shared" si="37"/>
        <v>55.803468680001743</v>
      </c>
      <c r="BG60" s="22">
        <f t="shared" si="7"/>
        <v>493.91651328433619</v>
      </c>
      <c r="BH60" s="60">
        <f t="shared" si="8"/>
        <v>787.2498466176695</v>
      </c>
      <c r="BI60" s="60">
        <f ca="1">AVERAGE(OFFSET($BH$3,0,0,'Données projet'!$E$11+1,1))-AVERAGE(OFFSET($H$3,0,0,'Données projet'!$E$11+1,1))</f>
        <v>256.19915261735281</v>
      </c>
      <c r="BJ60" s="60">
        <f t="shared" si="38"/>
        <v>297.47246687305056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4.7435897435897463</v>
      </c>
      <c r="BY60" s="13">
        <f>IF('Données projet'!$A$114&gt;35,BY59+BX60-CG59,IF(A60&lt;'Données projet'!$A$114,$BV$205^A60,IF(A60='Données projet'!$A$114,'Données projet'!$B$114,BY59+BX60-CG59)))</f>
        <v>163.97435897435889</v>
      </c>
      <c r="BZ60" s="14">
        <f>BY60*VLOOKUP('Données projet'!$B$12,Paramètres!$A$1:$I$89,3,0)*VLOOKUP('Données projet'!$B$12,Paramètres!$A$1:$I$89,5,0)</f>
        <v>156.03799999999993</v>
      </c>
      <c r="CA60" s="14">
        <f t="shared" si="39"/>
        <v>39.94757532752773</v>
      </c>
      <c r="CB60" s="22">
        <f t="shared" si="10"/>
        <v>341.34154369544399</v>
      </c>
      <c r="CC60" s="60">
        <f t="shared" si="11"/>
        <v>634.67487702877725</v>
      </c>
      <c r="CD60" s="60">
        <f ca="1">AVERAGE(OFFSET($CC$3,0,0,'Données projet'!$E$12+1,1))-AVERAGE(OFFSET($H$3,0,0,'Données projet'!$E$12+1,1))</f>
        <v>353.53401919391234</v>
      </c>
      <c r="CE60" s="60">
        <f t="shared" si="40"/>
        <v>244.7141066773861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7.6</v>
      </c>
      <c r="CT60" s="13">
        <f>IF('Données projet'!$A$140&gt;35,CT59+CS60-DB59,IF(A60&lt;'Données projet'!$A$140,$CQ$205^A60,IF(A60='Données projet'!$A$140,'Données projet'!$B$140,CT59+CS60-DB59)))</f>
        <v>191.2</v>
      </c>
      <c r="CU60" s="18">
        <f>CT60*VLOOKUP('Données projet'!$B$13,Paramètres!$A$1:$I$89,3,0)*VLOOKUP('Données projet'!$B$13,Paramètres!$A$1:$I$89,5,0)</f>
        <v>161.06688000000003</v>
      </c>
      <c r="CV60" s="14">
        <f t="shared" si="41"/>
        <v>41.083060013501324</v>
      </c>
      <c r="CW60" s="22">
        <f t="shared" si="13"/>
        <v>352.07781219018153</v>
      </c>
      <c r="CX60" s="60">
        <f t="shared" si="14"/>
        <v>645.41114552351485</v>
      </c>
      <c r="CY60" s="60">
        <f ca="1">AVERAGE(OFFSET($CX$3,0,0,'Données projet'!$E$13+1,1))-AVERAGE(OFFSET($H$3,0,0,'Données projet'!$E$13+1,1))</f>
        <v>403.33327536410098</v>
      </c>
      <c r="CZ60" s="60">
        <f t="shared" si="42"/>
        <v>218.26721063098552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5.1600000000000019</v>
      </c>
      <c r="DO60" s="13">
        <f>IF('Données projet'!$A$166&gt;35,DO59+DN60-DW59,IF(A60&lt;'Données projet'!$A$166,$DL$205^A60,IF(A60='Données projet'!$A$166,'Données projet'!$B$166,DO59+DN60-DW59)))</f>
        <v>229.4200000000001</v>
      </c>
      <c r="DP60" s="18">
        <f>DO60*VLOOKUP('Données projet'!$B$14,Paramètres!$A$1:$I$89,3,0)*VLOOKUP('Données projet'!$B$14,Paramètres!$A$1:$I$89,5,0)</f>
        <v>182.52655200000009</v>
      </c>
      <c r="DQ60" s="14">
        <f t="shared" si="43"/>
        <v>45.883840619447376</v>
      </c>
      <c r="DR60" s="22">
        <f t="shared" si="16"/>
        <v>397.81476714553764</v>
      </c>
      <c r="DS60" s="60">
        <f t="shared" si="17"/>
        <v>691.1481004788709</v>
      </c>
      <c r="DT60" s="60">
        <f ca="1">AVERAGE(OFFSET($DS$3,0,0,'Données projet'!$E$14+1,1))-AVERAGE(OFFSET($H$3,0,0,'Données projet'!$E$14+1,1))</f>
        <v>317.13087551964747</v>
      </c>
      <c r="DU60" s="60">
        <f t="shared" si="44"/>
        <v>293.43300041793185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4.0600000000000023</v>
      </c>
      <c r="EJ60" s="13">
        <f>IF('Données projet'!$A$192&gt;35,EJ59+EI60-ER59,IF(A60&lt;'Données projet'!$A$192,$EG$205^A60,IF(A60='Données projet'!$A$192,'Données projet'!$B$192,EJ59+EI60-ER59)))</f>
        <v>182.32000000000016</v>
      </c>
      <c r="EK60" s="18">
        <f>EJ60*VLOOKUP('Données projet'!$B$15,Paramètres!$A$1:$I$89,3,0)*VLOOKUP('Données projet'!$B$15,Paramètres!$A$1:$I$89,5,0)</f>
        <v>145.05379200000013</v>
      </c>
      <c r="EL60" s="14">
        <f t="shared" si="45"/>
        <v>37.452357977545276</v>
      </c>
      <c r="EM60" s="22">
        <f t="shared" si="19"/>
        <v>317.86487787755829</v>
      </c>
      <c r="EN60" s="60">
        <f t="shared" si="20"/>
        <v>611.1982112108916</v>
      </c>
      <c r="EO60" s="60">
        <f ca="1">AVERAGE(OFFSET($EN$3,0,0,'Données projet'!$E$15+1,1))-AVERAGE(OFFSET($H$3,0,0,'Données projet'!$E$15+1,1))</f>
        <v>253.03289960511904</v>
      </c>
      <c r="EP60" s="60">
        <f t="shared" si="46"/>
        <v>236.85088713056018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4.0600000000000023</v>
      </c>
      <c r="FE60" s="13">
        <f>IF('Données projet'!$A$218&gt;35,FE59+FD60-FM59,IF(A60&lt;'Données projet'!$A$218,$FB$205^A60,IF(A60='Données projet'!$A$218,'Données projet'!$B$218,FE59+FD60-FM59)))</f>
        <v>182.32000000000016</v>
      </c>
      <c r="FF60" s="18">
        <f>FE60*VLOOKUP('Données projet'!$B$16,Paramètres!$A$1:$I$89,3,0)*VLOOKUP('Données projet'!$B$16,Paramètres!$A$1:$I$89,5,0)</f>
        <v>159.27475200000015</v>
      </c>
      <c r="FG60" s="14">
        <f t="shared" si="47"/>
        <v>40.678890468597814</v>
      </c>
      <c r="FH60" s="22">
        <f t="shared" si="22"/>
        <v>348.25259396614143</v>
      </c>
      <c r="FI60" s="60">
        <f t="shared" si="23"/>
        <v>641.58592729947475</v>
      </c>
      <c r="FJ60" s="60">
        <f ca="1">AVERAGE(OFFSET($FI$3,0,0,'Données projet'!$E$16+1,1))-AVERAGE(OFFSET($H$3,0,0,'Données projet'!$E$16+1,1))</f>
        <v>274.38315511766132</v>
      </c>
      <c r="FK60" s="60">
        <f t="shared" si="48"/>
        <v>255.96663040027175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14.833333333333334</v>
      </c>
      <c r="FZ60" s="13">
        <f>IF('Données projet'!$A$244&gt;35,FZ59+FY60-GH59,IF(A60&lt;'Données projet'!$A$244,$FW$205^A60,IF(A60='Données projet'!$A$244,'Données projet'!$B$244,FZ59+FY60-GH59)))</f>
        <v>250.49999999999989</v>
      </c>
      <c r="GA60" s="18">
        <f>FZ60*VLOOKUP('Données projet'!$B$17,Paramètres!$A$1:$I$89,3,0)*VLOOKUP('Données projet'!$B$17,Paramètres!$A$1:$I$89,5,0)</f>
        <v>214.92899999999992</v>
      </c>
      <c r="GB60" s="14">
        <f t="shared" si="49"/>
        <v>53.011237531572512</v>
      </c>
      <c r="GC60" s="22">
        <f t="shared" si="25"/>
        <v>466.66258036748872</v>
      </c>
      <c r="GD60" s="60">
        <f t="shared" si="26"/>
        <v>759.99591370082203</v>
      </c>
      <c r="GE60" s="60">
        <f ca="1">AVERAGE(OFFSET($GD$3,0,0,'Données projet'!$E$17+1,1))-AVERAGE(OFFSET($H$3,0,0,'Données projet'!$E$17+1,1))</f>
        <v>445.81166342116865</v>
      </c>
      <c r="GF60" s="60">
        <f t="shared" si="50"/>
        <v>230.82970731138215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9.375</v>
      </c>
      <c r="GU60" s="13">
        <f>IF('Données projet'!$A$270&gt;35,GU59+GT60-HC59,IF(A60&lt;'Données projet'!$A$270,$GR$205^A60,IF(A60='Données projet'!$A$270,'Données projet'!$B$270,GU59+GT60-HC59)))</f>
        <v>268.87499999999989</v>
      </c>
      <c r="GV60" s="18">
        <f>GU60*VLOOKUP('Données projet'!$B$18,Paramètres!$A$1:$I$89,3,0)*VLOOKUP('Données projet'!$B$18,Paramètres!$A$1:$I$89,5,0)</f>
        <v>209.72249999999991</v>
      </c>
      <c r="GW60" s="14">
        <f t="shared" si="51"/>
        <v>51.874940300502246</v>
      </c>
      <c r="GX60" s="22">
        <f t="shared" si="28"/>
        <v>455.61554185670792</v>
      </c>
      <c r="GY60" s="60">
        <f t="shared" si="29"/>
        <v>748.94887519004124</v>
      </c>
      <c r="GZ60" s="60">
        <f ca="1">AVERAGE(OFFSET($GY$3,0,0,'Données projet'!$E$18+1,1))-AVERAGE(OFFSET($H$3,0,0,'Données projet'!$E$18+1,1))</f>
        <v>289.19475369871481</v>
      </c>
      <c r="HA60" s="60">
        <f t="shared" si="52"/>
        <v>283.48738729114024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projet'!$B$18,Paramètres!$A$1:$I$89,3,0)*0.475*44/12</f>
        <v>0</v>
      </c>
      <c r="HH60" s="23">
        <f>EXP(-LN(2)/25)*HH59+(1-EXP(-LN(2)/25))/(LN(2)/25)*Calculateur!HC60*Calculateur!HE60*VLOOKUP('Données projet'!$B$18,Paramètres!$A$1:$I$89,3,0)*0.475*44/12</f>
        <v>0</v>
      </c>
      <c r="HI60" s="23">
        <f>EXP(-LN(2)/2)*HI59+(1-EXP(-LN(2)/2))/(LN(2)/2)*HC60*HF60*VLOOKUP('Données projet'!$B$18,Paramètres!$A$1:$I$89,3,0)*0.475*44/12</f>
        <v>0</v>
      </c>
      <c r="HJ60" s="24">
        <f t="shared" si="30"/>
        <v>0</v>
      </c>
    </row>
    <row r="61" spans="1:218" s="5" customFormat="1" x14ac:dyDescent="0.3">
      <c r="A61" s="11">
        <f t="shared" si="31"/>
        <v>58</v>
      </c>
      <c r="B61" s="75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8">
        <f t="shared" si="1"/>
        <v>256.66666666666669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198.79999999999998</v>
      </c>
      <c r="O61" s="14">
        <f>N61*VLOOKUP('Données projet'!$B$9,Paramètres!$A$1:$I$89,3,0)*VLOOKUP('Données projet'!$B$9,Paramètres!$A$1:$I$89,5,0)</f>
        <v>192.27936</v>
      </c>
      <c r="P61" s="14">
        <f t="shared" si="33"/>
        <v>48.04353669645932</v>
      </c>
      <c r="Q61" s="22">
        <f t="shared" si="53"/>
        <v>418.56237841299998</v>
      </c>
      <c r="R61" s="60">
        <f t="shared" si="0"/>
        <v>711.89571174633329</v>
      </c>
      <c r="S61" s="60">
        <f ca="1">AVERAGE(OFFSET($R$3,0,0,'Données projet'!$E$9+1,1))-AVERAGE(OFFSET($H$3,0,0,'Données projet'!$E$9+1,1))</f>
        <v>456.86147223520601</v>
      </c>
      <c r="T61" s="60">
        <f t="shared" si="34"/>
        <v>244.45149244446094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1.8</v>
      </c>
      <c r="AI61" s="14">
        <f>IF('Données projet'!$A$62&gt;35,AI60+AH61-AQ60,IF(A61&lt;'Données projet'!$A$62,$AF$205^A61,IF(A61='Données projet'!$A$62,'Données projet'!$B$62,AI60+AH61-AQ60)))</f>
        <v>152.40000000000012</v>
      </c>
      <c r="AJ61" s="14">
        <f>AI61*VLOOKUP('Données projet'!$B$10,Paramètres!$A$1:$I$89,3,0)*VLOOKUP('Données projet'!$B$10,Paramètres!$A$1:$I$89,5,0)</f>
        <v>99.852480000000085</v>
      </c>
      <c r="AK61" s="14">
        <f t="shared" si="35"/>
        <v>26.926849923546538</v>
      </c>
      <c r="AL61" s="22">
        <f t="shared" si="4"/>
        <v>220.80733295017703</v>
      </c>
      <c r="AM61" s="60">
        <f t="shared" si="5"/>
        <v>514.14066628351031</v>
      </c>
      <c r="AN61" s="60">
        <f ca="1">AVERAGE(OFFSET($AM$3,0,0,'Données projet'!$E$10+1,1))-AVERAGE(OFFSET($H$3,0,0,'Données projet'!$E$10+1,1))</f>
        <v>170.79567854714986</v>
      </c>
      <c r="AO61" s="60">
        <f t="shared" si="36"/>
        <v>155.92788004111191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7.4</v>
      </c>
      <c r="BD61" s="13">
        <f>IF('Données projet'!$A$88&gt;35,BD60+BC61-BL60,IF(A61&lt;'Données projet'!$A$88,$BA$205^A61,IF(A61='Données projet'!$A$88,'Données projet'!$B$88,BD60+BC61-BL60)))</f>
        <v>288.19999999999993</v>
      </c>
      <c r="BE61" s="14">
        <f>BD61*VLOOKUP('Données projet'!$B$11,Paramètres!$A$1:$I$89,3,0)*VLOOKUP('Données projet'!$B$11,Paramètres!$A$1:$I$89,5,0)</f>
        <v>233.78783999999996</v>
      </c>
      <c r="BF61" s="14">
        <f t="shared" si="37"/>
        <v>57.100920847849451</v>
      </c>
      <c r="BG61" s="22">
        <f t="shared" si="7"/>
        <v>506.63125847667106</v>
      </c>
      <c r="BH61" s="60">
        <f t="shared" si="8"/>
        <v>799.96459181000432</v>
      </c>
      <c r="BI61" s="60">
        <f ca="1">AVERAGE(OFFSET($BH$3,0,0,'Données projet'!$E$11+1,1))-AVERAGE(OFFSET($H$3,0,0,'Données projet'!$E$11+1,1))</f>
        <v>256.19915261735281</v>
      </c>
      <c r="BJ61" s="60">
        <f t="shared" si="38"/>
        <v>297.47246687305056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4.7435897435897463</v>
      </c>
      <c r="BY61" s="13">
        <f>IF('Données projet'!$A$114&gt;35,BY60+BX61-CG60,IF(A61&lt;'Données projet'!$A$114,$BV$205^A61,IF(A61='Données projet'!$A$114,'Données projet'!$B$114,BY60+BX61-CG60)))</f>
        <v>168.71794871794864</v>
      </c>
      <c r="BZ61" s="14">
        <f>BY61*VLOOKUP('Données projet'!$B$12,Paramètres!$A$1:$I$89,3,0)*VLOOKUP('Données projet'!$B$12,Paramètres!$A$1:$I$89,5,0)</f>
        <v>160.55199999999994</v>
      </c>
      <c r="CA61" s="14">
        <f t="shared" si="39"/>
        <v>40.966995580161921</v>
      </c>
      <c r="CB61" s="22">
        <f t="shared" si="10"/>
        <v>350.97891730211518</v>
      </c>
      <c r="CC61" s="60">
        <f t="shared" si="11"/>
        <v>644.31225063544844</v>
      </c>
      <c r="CD61" s="60">
        <f ca="1">AVERAGE(OFFSET($CC$3,0,0,'Données projet'!$E$12+1,1))-AVERAGE(OFFSET($H$3,0,0,'Données projet'!$E$12+1,1))</f>
        <v>353.53401919391234</v>
      </c>
      <c r="CE61" s="60">
        <f t="shared" si="40"/>
        <v>244.7141066773861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7.6</v>
      </c>
      <c r="CT61" s="13">
        <f>IF('Données projet'!$A$140&gt;35,CT60+CS61-DB60,IF(A61&lt;'Données projet'!$A$140,$CQ$205^A61,IF(A61='Données projet'!$A$140,'Données projet'!$B$140,CT60+CS61-DB60)))</f>
        <v>198.79999999999998</v>
      </c>
      <c r="CU61" s="18">
        <f>CT61*VLOOKUP('Données projet'!$B$13,Paramètres!$A$1:$I$89,3,0)*VLOOKUP('Données projet'!$B$13,Paramètres!$A$1:$I$89,5,0)</f>
        <v>167.46912</v>
      </c>
      <c r="CV61" s="14">
        <f t="shared" si="41"/>
        <v>42.52269677930262</v>
      </c>
      <c r="CW61" s="22">
        <f t="shared" si="13"/>
        <v>365.73574755728538</v>
      </c>
      <c r="CX61" s="60">
        <f t="shared" si="14"/>
        <v>659.06908089061869</v>
      </c>
      <c r="CY61" s="60">
        <f ca="1">AVERAGE(OFFSET($CX$3,0,0,'Données projet'!$E$13+1,1))-AVERAGE(OFFSET($H$3,0,0,'Données projet'!$E$13+1,1))</f>
        <v>403.33327536410098</v>
      </c>
      <c r="CZ61" s="60">
        <f t="shared" si="42"/>
        <v>218.26721063098552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5.1600000000000019</v>
      </c>
      <c r="DO61" s="13">
        <f>IF('Données projet'!$A$166&gt;35,DO60+DN61-DW60,IF(A61&lt;'Données projet'!$A$166,$DL$205^A61,IF(A61='Données projet'!$A$166,'Données projet'!$B$166,DO60+DN61-DW60)))</f>
        <v>234.5800000000001</v>
      </c>
      <c r="DP61" s="18">
        <f>DO61*VLOOKUP('Données projet'!$B$14,Paramètres!$A$1:$I$89,3,0)*VLOOKUP('Données projet'!$B$14,Paramètres!$A$1:$I$89,5,0)</f>
        <v>186.63184800000008</v>
      </c>
      <c r="DQ61" s="14">
        <f t="shared" si="43"/>
        <v>46.794528880027258</v>
      </c>
      <c r="DR61" s="22">
        <f t="shared" si="16"/>
        <v>406.55093973271431</v>
      </c>
      <c r="DS61" s="60">
        <f t="shared" si="17"/>
        <v>699.88427306604763</v>
      </c>
      <c r="DT61" s="60">
        <f ca="1">AVERAGE(OFFSET($DS$3,0,0,'Données projet'!$E$14+1,1))-AVERAGE(OFFSET($H$3,0,0,'Données projet'!$E$14+1,1))</f>
        <v>317.13087551964747</v>
      </c>
      <c r="DU61" s="60">
        <f t="shared" si="44"/>
        <v>293.43300041793185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4.0600000000000023</v>
      </c>
      <c r="EJ61" s="13">
        <f>IF('Données projet'!$A$192&gt;35,EJ60+EI61-ER60,IF(A61&lt;'Données projet'!$A$192,$EG$205^A61,IF(A61='Données projet'!$A$192,'Données projet'!$B$192,EJ60+EI61-ER60)))</f>
        <v>186.38000000000017</v>
      </c>
      <c r="EK61" s="18">
        <f>EJ61*VLOOKUP('Données projet'!$B$15,Paramètres!$A$1:$I$89,3,0)*VLOOKUP('Données projet'!$B$15,Paramètres!$A$1:$I$89,5,0)</f>
        <v>148.28392800000012</v>
      </c>
      <c r="EL61" s="14">
        <f t="shared" si="45"/>
        <v>38.188341323687283</v>
      </c>
      <c r="EM61" s="22">
        <f t="shared" si="19"/>
        <v>324.77253573875549</v>
      </c>
      <c r="EN61" s="60">
        <f t="shared" si="20"/>
        <v>618.10586907208881</v>
      </c>
      <c r="EO61" s="60">
        <f ca="1">AVERAGE(OFFSET($EN$3,0,0,'Données projet'!$E$15+1,1))-AVERAGE(OFFSET($H$3,0,0,'Données projet'!$E$15+1,1))</f>
        <v>253.03289960511904</v>
      </c>
      <c r="EP61" s="60">
        <f t="shared" si="46"/>
        <v>236.85088713056018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4.0600000000000023</v>
      </c>
      <c r="FE61" s="13">
        <f>IF('Données projet'!$A$218&gt;35,FE60+FD61-FM60,IF(A61&lt;'Données projet'!$A$218,$FB$205^A61,IF(A61='Données projet'!$A$218,'Données projet'!$B$218,FE60+FD61-FM60)))</f>
        <v>186.38000000000017</v>
      </c>
      <c r="FF61" s="18">
        <f>FE61*VLOOKUP('Données projet'!$B$16,Paramètres!$A$1:$I$89,3,0)*VLOOKUP('Données projet'!$B$16,Paramètres!$A$1:$I$89,5,0)</f>
        <v>162.82156800000016</v>
      </c>
      <c r="FG61" s="14">
        <f t="shared" si="47"/>
        <v>41.47827901290183</v>
      </c>
      <c r="FH61" s="22">
        <f t="shared" si="22"/>
        <v>355.82223354747094</v>
      </c>
      <c r="FI61" s="60">
        <f t="shared" si="23"/>
        <v>649.15556688080426</v>
      </c>
      <c r="FJ61" s="60">
        <f ca="1">AVERAGE(OFFSET($FI$3,0,0,'Données projet'!$E$16+1,1))-AVERAGE(OFFSET($H$3,0,0,'Données projet'!$E$16+1,1))</f>
        <v>274.38315511766132</v>
      </c>
      <c r="FK61" s="60">
        <f t="shared" si="48"/>
        <v>255.96663040027175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14.833333333333334</v>
      </c>
      <c r="FZ61" s="13">
        <f>IF('Données projet'!$A$244&gt;35,FZ60+FY61-GH60,IF(A61&lt;'Données projet'!$A$244,$FW$205^A61,IF(A61='Données projet'!$A$244,'Données projet'!$B$244,FZ60+FY61-GH60)))</f>
        <v>265.3333333333332</v>
      </c>
      <c r="GA61" s="18">
        <f>FZ61*VLOOKUP('Données projet'!$B$17,Paramètres!$A$1:$I$89,3,0)*VLOOKUP('Données projet'!$B$17,Paramètres!$A$1:$I$89,5,0)</f>
        <v>227.65599999999992</v>
      </c>
      <c r="GB61" s="14">
        <f t="shared" si="49"/>
        <v>55.775552165489643</v>
      </c>
      <c r="GC61" s="22">
        <f t="shared" si="25"/>
        <v>493.64328668822759</v>
      </c>
      <c r="GD61" s="60">
        <f t="shared" si="26"/>
        <v>786.97662002156085</v>
      </c>
      <c r="GE61" s="60">
        <f ca="1">AVERAGE(OFFSET($GD$3,0,0,'Données projet'!$E$17+1,1))-AVERAGE(OFFSET($H$3,0,0,'Données projet'!$E$17+1,1))</f>
        <v>445.81166342116865</v>
      </c>
      <c r="GF61" s="60">
        <f t="shared" si="50"/>
        <v>230.82970731138215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9.375</v>
      </c>
      <c r="GU61" s="13">
        <f>IF('Données projet'!$A$270&gt;35,GU60+GT61-HC60,IF(A61&lt;'Données projet'!$A$270,$GR$205^A61,IF(A61='Données projet'!$A$270,'Données projet'!$B$270,GU60+GT61-HC60)))</f>
        <v>278.24999999999989</v>
      </c>
      <c r="GV61" s="18">
        <f>GU61*VLOOKUP('Données projet'!$B$18,Paramètres!$A$1:$I$89,3,0)*VLOOKUP('Données projet'!$B$18,Paramètres!$A$1:$I$89,5,0)</f>
        <v>217.03499999999991</v>
      </c>
      <c r="GW61" s="14">
        <f t="shared" si="51"/>
        <v>53.469949591969474</v>
      </c>
      <c r="GX61" s="22">
        <f t="shared" si="28"/>
        <v>471.12945387267996</v>
      </c>
      <c r="GY61" s="60">
        <f t="shared" si="29"/>
        <v>764.46278720601322</v>
      </c>
      <c r="GZ61" s="60">
        <f ca="1">AVERAGE(OFFSET($GY$3,0,0,'Données projet'!$E$18+1,1))-AVERAGE(OFFSET($H$3,0,0,'Données projet'!$E$18+1,1))</f>
        <v>289.19475369871481</v>
      </c>
      <c r="HA61" s="60">
        <f t="shared" si="52"/>
        <v>283.48738729114024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projet'!$B$18,Paramètres!$A$1:$I$89,3,0)*0.475*44/12</f>
        <v>0</v>
      </c>
      <c r="HH61" s="23">
        <f>EXP(-LN(2)/25)*HH60+(1-EXP(-LN(2)/25))/(LN(2)/25)*Calculateur!HC61*Calculateur!HE61*VLOOKUP('Données projet'!$B$18,Paramètres!$A$1:$I$89,3,0)*0.475*44/12</f>
        <v>0</v>
      </c>
      <c r="HI61" s="23">
        <f>EXP(-LN(2)/2)*HI60+(1-EXP(-LN(2)/2))/(LN(2)/2)*HC61*HF61*VLOOKUP('Données projet'!$B$18,Paramètres!$A$1:$I$89,3,0)*0.475*44/12</f>
        <v>0</v>
      </c>
      <c r="HJ61" s="24">
        <f t="shared" si="30"/>
        <v>0</v>
      </c>
    </row>
    <row r="62" spans="1:218" s="5" customFormat="1" x14ac:dyDescent="0.3">
      <c r="A62" s="11">
        <f t="shared" si="31"/>
        <v>59</v>
      </c>
      <c r="B62" s="75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8">
        <f t="shared" si="1"/>
        <v>256.66666666666669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206.39999999999998</v>
      </c>
      <c r="O62" s="14">
        <f>N62*VLOOKUP('Données projet'!$B$9,Paramètres!$A$1:$I$89,3,0)*VLOOKUP('Données projet'!$B$9,Paramètres!$A$1:$I$89,5,0)</f>
        <v>199.63007999999999</v>
      </c>
      <c r="P62" s="14">
        <f t="shared" si="33"/>
        <v>49.662861748339331</v>
      </c>
      <c r="Q62" s="22">
        <f t="shared" si="53"/>
        <v>434.18520687835763</v>
      </c>
      <c r="R62" s="60">
        <f t="shared" si="0"/>
        <v>727.51854021169095</v>
      </c>
      <c r="S62" s="60">
        <f ca="1">AVERAGE(OFFSET($R$3,0,0,'Données projet'!$E$9+1,1))-AVERAGE(OFFSET($H$3,0,0,'Données projet'!$E$9+1,1))</f>
        <v>456.86147223520601</v>
      </c>
      <c r="T62" s="60">
        <f t="shared" si="34"/>
        <v>244.45149244446094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1.8</v>
      </c>
      <c r="AI62" s="14">
        <f>IF('Données projet'!$A$62&gt;35,AI61+AH62-AQ61,IF(A62&lt;'Données projet'!$A$62,$AF$205^A62,IF(A62='Données projet'!$A$62,'Données projet'!$B$62,AI61+AH62-AQ61)))</f>
        <v>154.20000000000013</v>
      </c>
      <c r="AJ62" s="14">
        <f>AI62*VLOOKUP('Données projet'!$B$10,Paramètres!$A$1:$I$89,3,0)*VLOOKUP('Données projet'!$B$10,Paramètres!$A$1:$I$89,5,0)</f>
        <v>101.03184000000009</v>
      </c>
      <c r="AK62" s="14">
        <f t="shared" si="35"/>
        <v>27.207672139905618</v>
      </c>
      <c r="AL62" s="22">
        <f t="shared" si="4"/>
        <v>223.35048364366909</v>
      </c>
      <c r="AM62" s="60">
        <f t="shared" si="5"/>
        <v>516.68381697700238</v>
      </c>
      <c r="AN62" s="60">
        <f ca="1">AVERAGE(OFFSET($AM$3,0,0,'Données projet'!$E$10+1,1))-AVERAGE(OFFSET($H$3,0,0,'Données projet'!$E$10+1,1))</f>
        <v>170.79567854714986</v>
      </c>
      <c r="AO62" s="60">
        <f t="shared" si="36"/>
        <v>155.92788004111191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7.4</v>
      </c>
      <c r="BD62" s="13">
        <f>IF('Données projet'!$A$88&gt;35,BD61+BC62-BL61,IF(A62&lt;'Données projet'!$A$88,$BA$205^A62,IF(A62='Données projet'!$A$88,'Données projet'!$B$88,BD61+BC62-BL61)))</f>
        <v>295.59999999999991</v>
      </c>
      <c r="BE62" s="14">
        <f>BD62*VLOOKUP('Données projet'!$B$11,Paramètres!$A$1:$I$89,3,0)*VLOOKUP('Données projet'!$B$11,Paramètres!$A$1:$I$89,5,0)</f>
        <v>239.79071999999994</v>
      </c>
      <c r="BF62" s="14">
        <f t="shared" si="37"/>
        <v>58.394500584818381</v>
      </c>
      <c r="BG62" s="22">
        <f t="shared" si="7"/>
        <v>519.33925918522516</v>
      </c>
      <c r="BH62" s="60">
        <f t="shared" si="8"/>
        <v>812.67259251855853</v>
      </c>
      <c r="BI62" s="60">
        <f ca="1">AVERAGE(OFFSET($BH$3,0,0,'Données projet'!$E$11+1,1))-AVERAGE(OFFSET($H$3,0,0,'Données projet'!$E$11+1,1))</f>
        <v>256.19915261735281</v>
      </c>
      <c r="BJ62" s="60">
        <f t="shared" si="38"/>
        <v>297.47246687305056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4.7435897435897463</v>
      </c>
      <c r="BY62" s="13">
        <f>IF('Données projet'!$A$114&gt;35,BY61+BX62-CG61,IF(A62&lt;'Données projet'!$A$114,$BV$205^A62,IF(A62='Données projet'!$A$114,'Données projet'!$B$114,BY61+BX62-CG61)))</f>
        <v>173.4615384615384</v>
      </c>
      <c r="BZ62" s="14">
        <f>BY62*VLOOKUP('Données projet'!$B$12,Paramètres!$A$1:$I$89,3,0)*VLOOKUP('Données projet'!$B$12,Paramètres!$A$1:$I$89,5,0)</f>
        <v>165.06599999999995</v>
      </c>
      <c r="CA62" s="14">
        <f t="shared" si="39"/>
        <v>41.983084622237634</v>
      </c>
      <c r="CB62" s="22">
        <f t="shared" si="10"/>
        <v>360.61048905039712</v>
      </c>
      <c r="CC62" s="60">
        <f t="shared" si="11"/>
        <v>653.94382238373043</v>
      </c>
      <c r="CD62" s="60">
        <f ca="1">AVERAGE(OFFSET($CC$3,0,0,'Données projet'!$E$12+1,1))-AVERAGE(OFFSET($H$3,0,0,'Données projet'!$E$12+1,1))</f>
        <v>353.53401919391234</v>
      </c>
      <c r="CE62" s="60">
        <f t="shared" si="40"/>
        <v>244.7141066773861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7.6</v>
      </c>
      <c r="CT62" s="13">
        <f>IF('Données projet'!$A$140&gt;35,CT61+CS62-DB61,IF(A62&lt;'Données projet'!$A$140,$CQ$205^A62,IF(A62='Données projet'!$A$140,'Données projet'!$B$140,CT61+CS62-DB61)))</f>
        <v>206.39999999999998</v>
      </c>
      <c r="CU62" s="18">
        <f>CT62*VLOOKUP('Données projet'!$B$13,Paramètres!$A$1:$I$89,3,0)*VLOOKUP('Données projet'!$B$13,Paramètres!$A$1:$I$89,5,0)</f>
        <v>173.87135999999998</v>
      </c>
      <c r="CV62" s="14">
        <f t="shared" si="41"/>
        <v>43.955939893839961</v>
      </c>
      <c r="CW62" s="22">
        <f t="shared" si="13"/>
        <v>379.3825473151046</v>
      </c>
      <c r="CX62" s="60">
        <f t="shared" si="14"/>
        <v>672.71588064843786</v>
      </c>
      <c r="CY62" s="60">
        <f ca="1">AVERAGE(OFFSET($CX$3,0,0,'Données projet'!$E$13+1,1))-AVERAGE(OFFSET($H$3,0,0,'Données projet'!$E$13+1,1))</f>
        <v>403.33327536410098</v>
      </c>
      <c r="CZ62" s="60">
        <f t="shared" si="42"/>
        <v>218.26721063098552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5.1600000000000019</v>
      </c>
      <c r="DO62" s="13">
        <f>IF('Données projet'!$A$166&gt;35,DO61+DN62-DW61,IF(A62&lt;'Données projet'!$A$166,$DL$205^A62,IF(A62='Données projet'!$A$166,'Données projet'!$B$166,DO61+DN62-DW61)))</f>
        <v>239.74000000000009</v>
      </c>
      <c r="DP62" s="18">
        <f>DO62*VLOOKUP('Données projet'!$B$14,Paramètres!$A$1:$I$89,3,0)*VLOOKUP('Données projet'!$B$14,Paramètres!$A$1:$I$89,5,0)</f>
        <v>190.73714400000009</v>
      </c>
      <c r="DQ62" s="14">
        <f t="shared" si="43"/>
        <v>47.702888177614184</v>
      </c>
      <c r="DR62" s="22">
        <f t="shared" si="16"/>
        <v>415.2830560426782</v>
      </c>
      <c r="DS62" s="60">
        <f t="shared" si="17"/>
        <v>708.61638937601151</v>
      </c>
      <c r="DT62" s="60">
        <f ca="1">AVERAGE(OFFSET($DS$3,0,0,'Données projet'!$E$14+1,1))-AVERAGE(OFFSET($H$3,0,0,'Données projet'!$E$14+1,1))</f>
        <v>317.13087551964747</v>
      </c>
      <c r="DU62" s="60">
        <f t="shared" si="44"/>
        <v>293.43300041793185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4.0600000000000023</v>
      </c>
      <c r="EJ62" s="13">
        <f>IF('Données projet'!$A$192&gt;35,EJ61+EI62-ER61,IF(A62&lt;'Données projet'!$A$192,$EG$205^A62,IF(A62='Données projet'!$A$192,'Données projet'!$B$192,EJ61+EI62-ER61)))</f>
        <v>190.44000000000017</v>
      </c>
      <c r="EK62" s="18">
        <f>EJ62*VLOOKUP('Données projet'!$B$15,Paramètres!$A$1:$I$89,3,0)*VLOOKUP('Données projet'!$B$15,Paramètres!$A$1:$I$89,5,0)</f>
        <v>151.51406400000016</v>
      </c>
      <c r="EL62" s="14">
        <f t="shared" si="45"/>
        <v>38.922460723005621</v>
      </c>
      <c r="EM62" s="22">
        <f t="shared" si="19"/>
        <v>331.67694722590176</v>
      </c>
      <c r="EN62" s="60">
        <f t="shared" si="20"/>
        <v>625.01028055923507</v>
      </c>
      <c r="EO62" s="60">
        <f ca="1">AVERAGE(OFFSET($EN$3,0,0,'Données projet'!$E$15+1,1))-AVERAGE(OFFSET($H$3,0,0,'Données projet'!$E$15+1,1))</f>
        <v>253.03289960511904</v>
      </c>
      <c r="EP62" s="60">
        <f t="shared" si="46"/>
        <v>236.85088713056018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4.0600000000000023</v>
      </c>
      <c r="FE62" s="13">
        <f>IF('Données projet'!$A$218&gt;35,FE61+FD62-FM61,IF(A62&lt;'Données projet'!$A$218,$FB$205^A62,IF(A62='Données projet'!$A$218,'Données projet'!$B$218,FE61+FD62-FM61)))</f>
        <v>190.44000000000017</v>
      </c>
      <c r="FF62" s="18">
        <f>FE62*VLOOKUP('Données projet'!$B$16,Paramètres!$A$1:$I$89,3,0)*VLOOKUP('Données projet'!$B$16,Paramètres!$A$1:$I$89,5,0)</f>
        <v>166.36838400000016</v>
      </c>
      <c r="FG62" s="14">
        <f t="shared" si="47"/>
        <v>42.275643030773502</v>
      </c>
      <c r="FH62" s="22">
        <f t="shared" si="22"/>
        <v>363.38834707859746</v>
      </c>
      <c r="FI62" s="60">
        <f t="shared" si="23"/>
        <v>656.72168041193072</v>
      </c>
      <c r="FJ62" s="60">
        <f ca="1">AVERAGE(OFFSET($FI$3,0,0,'Données projet'!$E$16+1,1))-AVERAGE(OFFSET($H$3,0,0,'Données projet'!$E$16+1,1))</f>
        <v>274.38315511766132</v>
      </c>
      <c r="FK62" s="60">
        <f t="shared" si="48"/>
        <v>255.96663040027175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14.833333333333334</v>
      </c>
      <c r="FZ62" s="13">
        <f>IF('Données projet'!$A$244&gt;35,FZ61+FY62-GH61,IF(A62&lt;'Données projet'!$A$244,$FW$205^A62,IF(A62='Données projet'!$A$244,'Données projet'!$B$244,FZ61+FY62-GH61)))</f>
        <v>280.16666666666652</v>
      </c>
      <c r="GA62" s="18">
        <f>FZ62*VLOOKUP('Données projet'!$B$17,Paramètres!$A$1:$I$89,3,0)*VLOOKUP('Données projet'!$B$17,Paramètres!$A$1:$I$89,5,0)</f>
        <v>240.38299999999987</v>
      </c>
      <c r="GB62" s="14">
        <f t="shared" si="49"/>
        <v>58.521927148992098</v>
      </c>
      <c r="GC62" s="22">
        <f t="shared" si="25"/>
        <v>520.59274811782768</v>
      </c>
      <c r="GD62" s="60">
        <f t="shared" si="26"/>
        <v>813.92608145116105</v>
      </c>
      <c r="GE62" s="60">
        <f ca="1">AVERAGE(OFFSET($GD$3,0,0,'Données projet'!$E$17+1,1))-AVERAGE(OFFSET($H$3,0,0,'Données projet'!$E$17+1,1))</f>
        <v>445.81166342116865</v>
      </c>
      <c r="GF62" s="60">
        <f t="shared" si="50"/>
        <v>230.82970731138215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9.375</v>
      </c>
      <c r="GU62" s="13">
        <f>IF('Données projet'!$A$270&gt;35,GU61+GT62-HC61,IF(A62&lt;'Données projet'!$A$270,$GR$205^A62,IF(A62='Données projet'!$A$270,'Données projet'!$B$270,GU61+GT62-HC61)))</f>
        <v>287.62499999999989</v>
      </c>
      <c r="GV62" s="18">
        <f>GU62*VLOOKUP('Données projet'!$B$18,Paramètres!$A$1:$I$89,3,0)*VLOOKUP('Données projet'!$B$18,Paramètres!$A$1:$I$89,5,0)</f>
        <v>224.34749999999991</v>
      </c>
      <c r="GW62" s="14">
        <f t="shared" si="51"/>
        <v>55.058714525680429</v>
      </c>
      <c r="GX62" s="22">
        <f t="shared" si="28"/>
        <v>486.63249029889329</v>
      </c>
      <c r="GY62" s="60">
        <f t="shared" si="29"/>
        <v>779.9658236322266</v>
      </c>
      <c r="GZ62" s="60">
        <f ca="1">AVERAGE(OFFSET($GY$3,0,0,'Données projet'!$E$18+1,1))-AVERAGE(OFFSET($H$3,0,0,'Données projet'!$E$18+1,1))</f>
        <v>289.19475369871481</v>
      </c>
      <c r="HA62" s="60">
        <f t="shared" si="52"/>
        <v>283.48738729114024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projet'!$B$18,Paramètres!$A$1:$I$89,3,0)*0.475*44/12</f>
        <v>0</v>
      </c>
      <c r="HH62" s="23">
        <f>EXP(-LN(2)/25)*HH61+(1-EXP(-LN(2)/25))/(LN(2)/25)*Calculateur!HC62*Calculateur!HE62*VLOOKUP('Données projet'!$B$18,Paramètres!$A$1:$I$89,3,0)*0.475*44/12</f>
        <v>0</v>
      </c>
      <c r="HI62" s="23">
        <f>EXP(-LN(2)/2)*HI61+(1-EXP(-LN(2)/2))/(LN(2)/2)*HC62*HF62*VLOOKUP('Données projet'!$B$18,Paramètres!$A$1:$I$89,3,0)*0.475*44/12</f>
        <v>0</v>
      </c>
      <c r="HJ62" s="24">
        <f t="shared" si="30"/>
        <v>0</v>
      </c>
    </row>
    <row r="63" spans="1:218" s="5" customFormat="1" x14ac:dyDescent="0.3">
      <c r="A63" s="11">
        <f t="shared" si="31"/>
        <v>60</v>
      </c>
      <c r="B63" s="75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8">
        <f t="shared" si="1"/>
        <v>256.66666666666669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213.99999999999997</v>
      </c>
      <c r="O63" s="14">
        <f>N63*VLOOKUP('Données projet'!$B$9,Paramètres!$A$1:$I$89,3,0)*VLOOKUP('Données projet'!$B$9,Paramètres!$A$1:$I$89,5,0)</f>
        <v>206.98079999999996</v>
      </c>
      <c r="P63" s="14">
        <f t="shared" si="33"/>
        <v>51.275259496675787</v>
      </c>
      <c r="Q63" s="22">
        <f t="shared" si="53"/>
        <v>449.7959702900435</v>
      </c>
      <c r="R63" s="60">
        <f t="shared" si="0"/>
        <v>743.12930362337681</v>
      </c>
      <c r="S63" s="60">
        <f ca="1">AVERAGE(OFFSET($R$3,0,0,'Données projet'!$E$9+1,1))-AVERAGE(OFFSET($H$3,0,0,'Données projet'!$E$9+1,1))</f>
        <v>456.86147223520601</v>
      </c>
      <c r="T63" s="60">
        <f t="shared" si="34"/>
        <v>244.45149244446094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156</v>
      </c>
      <c r="AG63" s="13">
        <f>VLOOKUP(A63,'Données projet'!$A$61:$I$81,9,0)</f>
        <v>1.8</v>
      </c>
      <c r="AH63" s="13">
        <f t="array" ref="AH63">INDEX(AG:AG,MIN(IF(ISNUMBER(AG63:AG259),ROW(AG63:AG259),"")))</f>
        <v>1.8</v>
      </c>
      <c r="AI63" s="14">
        <f>IF('Données projet'!$A$62&gt;35,AI62+AH63-AQ62,IF(A63&lt;'Données projet'!$A$62,$AF$205^A63,IF(A63='Données projet'!$A$62,'Données projet'!$B$62,AI62+AH63-AQ62)))</f>
        <v>156.00000000000014</v>
      </c>
      <c r="AJ63" s="14">
        <f>AI63*VLOOKUP('Données projet'!$B$10,Paramètres!$A$1:$I$89,3,0)*VLOOKUP('Données projet'!$B$10,Paramètres!$A$1:$I$89,5,0)</f>
        <v>102.21120000000009</v>
      </c>
      <c r="AK63" s="14">
        <f t="shared" si="35"/>
        <v>27.488113037666043</v>
      </c>
      <c r="AL63" s="22">
        <f t="shared" si="4"/>
        <v>225.89297020726852</v>
      </c>
      <c r="AM63" s="60">
        <f t="shared" si="5"/>
        <v>519.22630354060186</v>
      </c>
      <c r="AN63" s="60">
        <f ca="1">AVERAGE(OFFSET($AM$3,0,0,'Données projet'!$E$10+1,1))-AVERAGE(OFFSET($H$3,0,0,'Données projet'!$E$10+1,1))</f>
        <v>170.79567854714986</v>
      </c>
      <c r="AO63" s="60">
        <f t="shared" si="36"/>
        <v>155.92788004111191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303</v>
      </c>
      <c r="BB63" s="13">
        <f>VLOOKUP(A63,'Données projet'!$A$87:$I$107,9,0)</f>
        <v>7.4</v>
      </c>
      <c r="BC63" s="13">
        <f t="array" ref="BC63">INDEX(BB:BB,MIN(IF(ISNUMBER(BB63:BB259),ROW(BB63:BB259),"")))</f>
        <v>7.4</v>
      </c>
      <c r="BD63" s="13">
        <f>IF('Données projet'!$A$88&gt;35,BD62+BC63-BL62,IF(A63&lt;'Données projet'!$A$88,$BA$205^A63,IF(A63='Données projet'!$A$88,'Données projet'!$B$88,BD62+BC63-BL62)))</f>
        <v>302.99999999999989</v>
      </c>
      <c r="BE63" s="14">
        <f>BD63*VLOOKUP('Données projet'!$B$11,Paramètres!$A$1:$I$89,3,0)*VLOOKUP('Données projet'!$B$11,Paramètres!$A$1:$I$89,5,0)</f>
        <v>245.79359999999991</v>
      </c>
      <c r="BF63" s="14">
        <f t="shared" si="37"/>
        <v>59.684315982017168</v>
      </c>
      <c r="BG63" s="22">
        <f t="shared" si="7"/>
        <v>532.04070366867973</v>
      </c>
      <c r="BH63" s="60">
        <f t="shared" si="8"/>
        <v>825.37403700201298</v>
      </c>
      <c r="BI63" s="60">
        <f ca="1">AVERAGE(OFFSET($BH$3,0,0,'Données projet'!$E$11+1,1))-AVERAGE(OFFSET($H$3,0,0,'Données projet'!$E$11+1,1))</f>
        <v>256.19915261735281</v>
      </c>
      <c r="BJ63" s="60">
        <f t="shared" si="38"/>
        <v>297.47246687305056</v>
      </c>
      <c r="BK63" s="16">
        <f>IF(ISNA(VLOOKUP(A63,'Données projet'!$A$87:$I$107,3,0)),0,VLOOKUP(A63,'Données projet'!$A$87:$I$107,3,0))</f>
        <v>3</v>
      </c>
      <c r="BL63" s="16">
        <f>IF(ISNA(VLOOKUP(A63,'Données projet'!$A$87:$I$107,4,0)),0,VLOOKUP(A63,'Données projet'!$A$87:$I$107,4,0))</f>
        <v>303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178.2051282051282</v>
      </c>
      <c r="BW63" s="13">
        <f>VLOOKUP(A63,'Données projet'!$A$113:$I$133,9,0)</f>
        <v>4.7435897435897463</v>
      </c>
      <c r="BX63" s="13">
        <f t="array" ref="BX63">INDEX(BW:BW,MIN(IF(ISNUMBER(BW63:BW259),ROW(BW63:BW259),"")))</f>
        <v>4.7435897435897463</v>
      </c>
      <c r="BY63" s="13">
        <f>IF('Données projet'!$A$114&gt;35,BY62+BX63-CG62,IF(A63&lt;'Données projet'!$A$114,$BV$205^A63,IF(A63='Données projet'!$A$114,'Données projet'!$B$114,BY62+BX63-CG62)))</f>
        <v>178.20512820512815</v>
      </c>
      <c r="BZ63" s="14">
        <f>BY63*VLOOKUP('Données projet'!$B$12,Paramètres!$A$1:$I$89,3,0)*VLOOKUP('Données projet'!$B$12,Paramètres!$A$1:$I$89,5,0)</f>
        <v>169.57999999999993</v>
      </c>
      <c r="CA63" s="14">
        <f t="shared" si="39"/>
        <v>42.995944018844156</v>
      </c>
      <c r="CB63" s="22">
        <f t="shared" si="10"/>
        <v>370.23643583282006</v>
      </c>
      <c r="CC63" s="60">
        <f t="shared" si="11"/>
        <v>663.56976916615338</v>
      </c>
      <c r="CD63" s="60">
        <f ca="1">AVERAGE(OFFSET($CC$3,0,0,'Données projet'!$E$12+1,1))-AVERAGE(OFFSET($H$3,0,0,'Données projet'!$E$12+1,1))</f>
        <v>353.53401919391234</v>
      </c>
      <c r="CE63" s="60">
        <f t="shared" si="40"/>
        <v>244.7141066773861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214</v>
      </c>
      <c r="CR63" s="13">
        <f>VLOOKUP(A63,'Données projet'!$A$139:$I$159,9,0)</f>
        <v>7.6</v>
      </c>
      <c r="CS63" s="13">
        <f t="array" ref="CS63">INDEX(CR:CR,MIN(IF(ISNUMBER(CR63:CR259),ROW(CR63:CR259),"")))</f>
        <v>7.6</v>
      </c>
      <c r="CT63" s="13">
        <f>IF('Données projet'!$A$140&gt;35,CT62+CS63-DB62,IF(A63&lt;'Données projet'!$A$140,$CQ$205^A63,IF(A63='Données projet'!$A$140,'Données projet'!$B$140,CT62+CS63-DB62)))</f>
        <v>213.99999999999997</v>
      </c>
      <c r="CU63" s="18">
        <f>CT63*VLOOKUP('Données projet'!$B$13,Paramètres!$A$1:$I$89,3,0)*VLOOKUP('Données projet'!$B$13,Paramètres!$A$1:$I$89,5,0)</f>
        <v>180.27359999999999</v>
      </c>
      <c r="CV63" s="14">
        <f t="shared" si="41"/>
        <v>45.383051743938047</v>
      </c>
      <c r="CW63" s="22">
        <f t="shared" si="13"/>
        <v>393.01866845402537</v>
      </c>
      <c r="CX63" s="60">
        <f t="shared" si="14"/>
        <v>686.35200178735863</v>
      </c>
      <c r="CY63" s="60">
        <f ca="1">AVERAGE(OFFSET($CX$3,0,0,'Données projet'!$E$13+1,1))-AVERAGE(OFFSET($H$3,0,0,'Données projet'!$E$13+1,1))</f>
        <v>403.33327536410098</v>
      </c>
      <c r="CZ63" s="60">
        <f t="shared" si="42"/>
        <v>218.26721063098552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244.9</v>
      </c>
      <c r="DM63" s="13">
        <f>VLOOKUP(A63,'Données projet'!$A$165:$I$185,9,0)</f>
        <v>5.1600000000000019</v>
      </c>
      <c r="DN63" s="13">
        <f t="array" ref="DN63">INDEX(DM:DM,MIN(IF(ISNUMBER(DM63:DM259),ROW(DM63:DM259),"")))</f>
        <v>5.1600000000000019</v>
      </c>
      <c r="DO63" s="13">
        <f>IF('Données projet'!$A$166&gt;35,DO62+DN63-DW62,IF(A63&lt;'Données projet'!$A$166,$DL$205^A63,IF(A63='Données projet'!$A$166,'Données projet'!$B$166,DO62+DN63-DW62)))</f>
        <v>244.90000000000009</v>
      </c>
      <c r="DP63" s="18">
        <f>DO63*VLOOKUP('Données projet'!$B$14,Paramètres!$A$1:$I$89,3,0)*VLOOKUP('Données projet'!$B$14,Paramètres!$A$1:$I$89,5,0)</f>
        <v>194.84244000000007</v>
      </c>
      <c r="DQ63" s="14">
        <f t="shared" si="43"/>
        <v>48.608974412675067</v>
      </c>
      <c r="DR63" s="22">
        <f t="shared" si="16"/>
        <v>424.01121343540922</v>
      </c>
      <c r="DS63" s="60">
        <f t="shared" si="17"/>
        <v>717.34454676874248</v>
      </c>
      <c r="DT63" s="60">
        <f ca="1">AVERAGE(OFFSET($DS$3,0,0,'Données projet'!$E$14+1,1))-AVERAGE(OFFSET($H$3,0,0,'Données projet'!$E$14+1,1))</f>
        <v>317.13087551964747</v>
      </c>
      <c r="DU63" s="60">
        <f t="shared" si="44"/>
        <v>293.43300041793185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194.5</v>
      </c>
      <c r="EH63" s="13">
        <f>VLOOKUP(A63,'Données projet'!$A$191:$I$211,9,0)</f>
        <v>4.0600000000000023</v>
      </c>
      <c r="EI63" s="13">
        <f t="array" ref="EI63">INDEX(EH:EH,MIN(IF(ISNUMBER(EH63:EH259),ROW(EH63:EH259),"")))</f>
        <v>4.0600000000000023</v>
      </c>
      <c r="EJ63" s="13">
        <f>IF('Données projet'!$A$192&gt;35,EJ62+EI63-ER62,IF(A63&lt;'Données projet'!$A$192,$EG$205^A63,IF(A63='Données projet'!$A$192,'Données projet'!$B$192,EJ62+EI63-ER62)))</f>
        <v>194.50000000000017</v>
      </c>
      <c r="EK63" s="18">
        <f>EJ63*VLOOKUP('Données projet'!$B$15,Paramètres!$A$1:$I$89,3,0)*VLOOKUP('Données projet'!$B$15,Paramètres!$A$1:$I$89,5,0)</f>
        <v>154.74420000000015</v>
      </c>
      <c r="EL63" s="14">
        <f t="shared" si="45"/>
        <v>39.65476049031134</v>
      </c>
      <c r="EM63" s="22">
        <f t="shared" si="19"/>
        <v>338.57818952062581</v>
      </c>
      <c r="EN63" s="60">
        <f t="shared" si="20"/>
        <v>631.91152285395913</v>
      </c>
      <c r="EO63" s="60">
        <f ca="1">AVERAGE(OFFSET($EN$3,0,0,'Données projet'!$E$15+1,1))-AVERAGE(OFFSET($H$3,0,0,'Données projet'!$E$15+1,1))</f>
        <v>253.03289960511904</v>
      </c>
      <c r="EP63" s="60">
        <f t="shared" si="46"/>
        <v>236.85088713056018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194.5</v>
      </c>
      <c r="FC63" s="13">
        <f>VLOOKUP(A63,'Données projet'!$A$217:$I$237,9,0)</f>
        <v>4.0600000000000023</v>
      </c>
      <c r="FD63" s="13">
        <f t="array" ref="FD63">INDEX(FC:FC,MIN(IF(ISNUMBER(FC63:FC259),ROW(FC63:FC259),"")))</f>
        <v>4.0600000000000023</v>
      </c>
      <c r="FE63" s="13">
        <f>IF('Données projet'!$A$218&gt;35,FE62+FD63-FM62,IF(A63&lt;'Données projet'!$A$218,$FB$205^A63,IF(A63='Données projet'!$A$218,'Données projet'!$B$218,FE62+FD63-FM62)))</f>
        <v>194.50000000000017</v>
      </c>
      <c r="FF63" s="18">
        <f>FE63*VLOOKUP('Données projet'!$B$16,Paramètres!$A$1:$I$89,3,0)*VLOOKUP('Données projet'!$B$16,Paramètres!$A$1:$I$89,5,0)</f>
        <v>169.91520000000017</v>
      </c>
      <c r="FG63" s="14">
        <f t="shared" si="47"/>
        <v>43.071030654758864</v>
      </c>
      <c r="FH63" s="22">
        <f t="shared" si="22"/>
        <v>370.95101839037198</v>
      </c>
      <c r="FI63" s="60">
        <f t="shared" si="23"/>
        <v>664.2843517237053</v>
      </c>
      <c r="FJ63" s="60">
        <f ca="1">AVERAGE(OFFSET($FI$3,0,0,'Données projet'!$E$16+1,1))-AVERAGE(OFFSET($H$3,0,0,'Données projet'!$E$16+1,1))</f>
        <v>274.38315511766132</v>
      </c>
      <c r="FK63" s="60">
        <f t="shared" si="48"/>
        <v>255.96663040027175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295</v>
      </c>
      <c r="FX63" s="13">
        <f>VLOOKUP(A63,'Données projet'!$A$243:$I$263,9,0)</f>
        <v>14.833333333333334</v>
      </c>
      <c r="FY63" s="13">
        <f t="array" ref="FY63">INDEX(FX:FX,MIN(IF(ISNUMBER(FX63:FX259),ROW(FX63:FX259),"")))</f>
        <v>14.833333333333334</v>
      </c>
      <c r="FZ63" s="13">
        <f>IF('Données projet'!$A$244&gt;35,FZ62+FY63-GH62,IF(A63&lt;'Données projet'!$A$244,$FW$205^A63,IF(A63='Données projet'!$A$244,'Données projet'!$B$244,FZ62+FY63-GH62)))</f>
        <v>294.99999999999983</v>
      </c>
      <c r="GA63" s="18">
        <f>FZ63*VLOOKUP('Données projet'!$B$17,Paramètres!$A$1:$I$89,3,0)*VLOOKUP('Données projet'!$B$17,Paramètres!$A$1:$I$89,5,0)</f>
        <v>253.10999999999987</v>
      </c>
      <c r="GB63" s="14">
        <f t="shared" si="49"/>
        <v>61.251420602177625</v>
      </c>
      <c r="GC63" s="22">
        <f t="shared" si="25"/>
        <v>547.51280754879247</v>
      </c>
      <c r="GD63" s="60">
        <f t="shared" si="26"/>
        <v>840.84614088212584</v>
      </c>
      <c r="GE63" s="60">
        <f ca="1">AVERAGE(OFFSET($GD$3,0,0,'Données projet'!$E$17+1,1))-AVERAGE(OFFSET($H$3,0,0,'Données projet'!$E$17+1,1))</f>
        <v>445.81166342116865</v>
      </c>
      <c r="GF63" s="60">
        <f t="shared" si="50"/>
        <v>230.82970731138215</v>
      </c>
      <c r="GG63" s="16">
        <f>IF(ISNA(VLOOKUP(A63,'Données projet'!$A$243:$I$263,3,0)),0,VLOOKUP(A63,'Données projet'!$A$243:$I$263,3,0))</f>
        <v>7</v>
      </c>
      <c r="GH63" s="16">
        <f>IF(ISNA(VLOOKUP(A63,'Données projet'!$A$243:$I$263,4,0)),0,VLOOKUP(A63,'Données projet'!$A$243:$I$263,4,0))</f>
        <v>61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>
        <f>VLOOKUP(A63,'Données projet'!$A$269:$I$289,2,0)</f>
        <v>297</v>
      </c>
      <c r="GS63" s="13">
        <f>VLOOKUP(A63,'Données projet'!$A$269:$I$289,9,0)</f>
        <v>9.375</v>
      </c>
      <c r="GT63" s="13">
        <f t="array" ref="GT63">INDEX(GS:GS,MIN(IF(ISNUMBER(GS63:GS259),ROW(GS63:GS259),"")))</f>
        <v>9.375</v>
      </c>
      <c r="GU63" s="13">
        <f>IF('Données projet'!$A$270&gt;35,GU62+GT63-HC62,IF(A63&lt;'Données projet'!$A$270,$GR$205^A63,IF(A63='Données projet'!$A$270,'Données projet'!$B$270,GU62+GT63-HC62)))</f>
        <v>296.99999999999989</v>
      </c>
      <c r="GV63" s="18">
        <f>GU63*VLOOKUP('Données projet'!$B$18,Paramètres!$A$1:$I$89,3,0)*VLOOKUP('Données projet'!$B$18,Paramètres!$A$1:$I$89,5,0)</f>
        <v>231.65999999999991</v>
      </c>
      <c r="GW63" s="14">
        <f t="shared" si="51"/>
        <v>56.641461975682766</v>
      </c>
      <c r="GX63" s="22">
        <f t="shared" si="28"/>
        <v>502.125046274314</v>
      </c>
      <c r="GY63" s="60">
        <f t="shared" si="29"/>
        <v>795.45837960764732</v>
      </c>
      <c r="GZ63" s="60">
        <f ca="1">AVERAGE(OFFSET($GY$3,0,0,'Données projet'!$E$18+1,1))-AVERAGE(OFFSET($H$3,0,0,'Données projet'!$E$18+1,1))</f>
        <v>289.19475369871481</v>
      </c>
      <c r="HA63" s="60">
        <f t="shared" si="52"/>
        <v>283.48738729114024</v>
      </c>
      <c r="HB63" s="16">
        <f>IF(ISNA(VLOOKUP(A63,'Données projet'!$A$269:$I$289,3,0)),0,VLOOKUP(A63,'Données projet'!$A$269:$I$289,3,0))</f>
        <v>7</v>
      </c>
      <c r="HC63" s="16">
        <f>IF(ISNA(VLOOKUP(A63,'Données projet'!$A$269:$I$289,4,0)),0,VLOOKUP(A63,'Données projet'!$A$269:$I$289,4,0))</f>
        <v>47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projet'!$B$18,Paramètres!$A$1:$I$89,3,0)*0.475*44/12</f>
        <v>0</v>
      </c>
      <c r="HH63" s="23">
        <f>EXP(-LN(2)/25)*HH62+(1-EXP(-LN(2)/25))/(LN(2)/25)*Calculateur!HC63*Calculateur!HE63*VLOOKUP('Données projet'!$B$18,Paramètres!$A$1:$I$89,3,0)*0.475*44/12</f>
        <v>0</v>
      </c>
      <c r="HI63" s="23">
        <f>EXP(-LN(2)/2)*HI62+(1-EXP(-LN(2)/2))/(LN(2)/2)*HC63*HF63*VLOOKUP('Données projet'!$B$18,Paramètres!$A$1:$I$89,3,0)*0.475*44/12</f>
        <v>0</v>
      </c>
      <c r="HJ63" s="24">
        <f t="shared" si="30"/>
        <v>0</v>
      </c>
    </row>
    <row r="64" spans="1:218" s="5" customFormat="1" x14ac:dyDescent="0.3">
      <c r="A64" s="11">
        <f t="shared" si="31"/>
        <v>61</v>
      </c>
      <c r="B64" s="75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8">
        <f t="shared" si="1"/>
        <v>256.66666666666669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221.19999999999996</v>
      </c>
      <c r="O64" s="14">
        <f>N64*VLOOKUP('Données projet'!$B$9,Paramètres!$A$1:$I$89,3,0)*VLOOKUP('Données projet'!$B$9,Paramètres!$A$1:$I$89,5,0)</f>
        <v>213.94463999999996</v>
      </c>
      <c r="P64" s="14">
        <f t="shared" si="33"/>
        <v>52.796652939972844</v>
      </c>
      <c r="Q64" s="22">
        <f t="shared" si="53"/>
        <v>464.5744185371193</v>
      </c>
      <c r="R64" s="60">
        <f t="shared" si="0"/>
        <v>757.90775187045256</v>
      </c>
      <c r="S64" s="60">
        <f ca="1">AVERAGE(OFFSET($R$3,0,0,'Données projet'!$E$9+1,1))-AVERAGE(OFFSET($H$3,0,0,'Données projet'!$E$9+1,1))</f>
        <v>456.86147223520601</v>
      </c>
      <c r="T64" s="60">
        <f t="shared" si="34"/>
        <v>244.45149244446094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1.1499999999999999</v>
      </c>
      <c r="AI64" s="14">
        <f>IF('Données projet'!$A$62&gt;35,AI63+AH64-AQ63,IF(A64&lt;'Données projet'!$A$62,$AF$205^A64,IF(A64='Données projet'!$A$62,'Données projet'!$B$62,AI63+AH64-AQ63)))</f>
        <v>157.15000000000015</v>
      </c>
      <c r="AJ64" s="14">
        <f>AI64*VLOOKUP('Données projet'!$B$10,Paramètres!$A$1:$I$89,3,0)*VLOOKUP('Données projet'!$B$10,Paramètres!$A$1:$I$89,5,0)</f>
        <v>102.96468000000009</v>
      </c>
      <c r="AK64" s="14">
        <f t="shared" si="35"/>
        <v>27.667086243597947</v>
      </c>
      <c r="AL64" s="22">
        <f t="shared" si="4"/>
        <v>227.51699287426655</v>
      </c>
      <c r="AM64" s="60">
        <f t="shared" si="5"/>
        <v>520.85032620759989</v>
      </c>
      <c r="AN64" s="60">
        <f ca="1">AVERAGE(OFFSET($AM$3,0,0,'Données projet'!$E$10+1,1))-AVERAGE(OFFSET($H$3,0,0,'Données projet'!$E$10+1,1))</f>
        <v>170.79567854714986</v>
      </c>
      <c r="AO64" s="60">
        <f t="shared" si="36"/>
        <v>155.92788004111191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-1.1368683772161603E-13</v>
      </c>
      <c r="BE64" s="14">
        <f>BD64*VLOOKUP('Données projet'!$B$11,Paramètres!$A$1:$I$89,3,0)*VLOOKUP('Données projet'!$B$11,Paramètres!$A$1:$I$89,5,0)</f>
        <v>-9.2222762759774927E-14</v>
      </c>
      <c r="BF64" s="14" t="e">
        <f t="shared" si="37"/>
        <v>#NUM!</v>
      </c>
      <c r="BG64" s="22" t="e">
        <f t="shared" si="7"/>
        <v>#NUM!</v>
      </c>
      <c r="BH64" s="60" t="e">
        <f t="shared" si="8"/>
        <v>#NUM!</v>
      </c>
      <c r="BI64" s="60">
        <f ca="1">AVERAGE(OFFSET($BH$3,0,0,'Données projet'!$E$11+1,1))-AVERAGE(OFFSET($H$3,0,0,'Données projet'!$E$11+1,1))</f>
        <v>256.19915261735281</v>
      </c>
      <c r="BJ64" s="60">
        <f t="shared" si="38"/>
        <v>297.47246687305056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4.4871794871794863</v>
      </c>
      <c r="BY64" s="13">
        <f>IF('Données projet'!$A$114&gt;35,BY63+BX64-CG63,IF(A64&lt;'Données projet'!$A$114,$BV$205^A64,IF(A64='Données projet'!$A$114,'Données projet'!$B$114,BY63+BX64-CG63)))</f>
        <v>182.69230769230762</v>
      </c>
      <c r="BZ64" s="14">
        <f>BY64*VLOOKUP('Données projet'!$B$12,Paramètres!$A$1:$I$89,3,0)*VLOOKUP('Données projet'!$B$12,Paramètres!$A$1:$I$89,5,0)</f>
        <v>173.84999999999994</v>
      </c>
      <c r="CA64" s="14">
        <f t="shared" si="39"/>
        <v>43.951168452592761</v>
      </c>
      <c r="CB64" s="22">
        <f t="shared" si="10"/>
        <v>379.3370350549323</v>
      </c>
      <c r="CC64" s="60">
        <f t="shared" si="11"/>
        <v>672.67036838826562</v>
      </c>
      <c r="CD64" s="60">
        <f ca="1">AVERAGE(OFFSET($CC$3,0,0,'Données projet'!$E$12+1,1))-AVERAGE(OFFSET($H$3,0,0,'Données projet'!$E$12+1,1))</f>
        <v>353.53401919391234</v>
      </c>
      <c r="CE64" s="60">
        <f t="shared" si="40"/>
        <v>244.7141066773861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7.2</v>
      </c>
      <c r="CT64" s="13">
        <f>IF('Données projet'!$A$140&gt;35,CT63+CS64-DB63,IF(A64&lt;'Données projet'!$A$140,$CQ$205^A64,IF(A64='Données projet'!$A$140,'Données projet'!$B$140,CT63+CS64-DB63)))</f>
        <v>221.19999999999996</v>
      </c>
      <c r="CU64" s="18">
        <f>CT64*VLOOKUP('Données projet'!$B$13,Paramètres!$A$1:$I$89,3,0)*VLOOKUP('Données projet'!$B$13,Paramètres!$A$1:$I$89,5,0)</f>
        <v>186.33887999999999</v>
      </c>
      <c r="CV64" s="14">
        <f t="shared" si="41"/>
        <v>46.729616891297603</v>
      </c>
      <c r="CW64" s="22">
        <f t="shared" si="13"/>
        <v>405.92763208567663</v>
      </c>
      <c r="CX64" s="60">
        <f t="shared" si="14"/>
        <v>699.26096541900995</v>
      </c>
      <c r="CY64" s="60">
        <f ca="1">AVERAGE(OFFSET($CX$3,0,0,'Données projet'!$E$13+1,1))-AVERAGE(OFFSET($H$3,0,0,'Données projet'!$E$13+1,1))</f>
        <v>403.33327536410098</v>
      </c>
      <c r="CZ64" s="60">
        <f t="shared" si="42"/>
        <v>218.26721063098552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4.3400000000000034</v>
      </c>
      <c r="DO64" s="13">
        <f>IF('Données projet'!$A$166&gt;35,DO63+DN64-DW63,IF(A64&lt;'Données projet'!$A$166,$DL$205^A64,IF(A64='Données projet'!$A$166,'Données projet'!$B$166,DO63+DN64-DW63)))</f>
        <v>249.24000000000009</v>
      </c>
      <c r="DP64" s="18">
        <f>DO64*VLOOKUP('Données projet'!$B$14,Paramètres!$A$1:$I$89,3,0)*VLOOKUP('Données projet'!$B$14,Paramètres!$A$1:$I$89,5,0)</f>
        <v>198.29534400000009</v>
      </c>
      <c r="DQ64" s="14">
        <f t="shared" si="43"/>
        <v>49.369349501339904</v>
      </c>
      <c r="DR64" s="22">
        <f t="shared" si="16"/>
        <v>431.34934118150051</v>
      </c>
      <c r="DS64" s="60">
        <f t="shared" si="17"/>
        <v>724.68267451483382</v>
      </c>
      <c r="DT64" s="60">
        <f ca="1">AVERAGE(OFFSET($DS$3,0,0,'Données projet'!$E$14+1,1))-AVERAGE(OFFSET($H$3,0,0,'Données projet'!$E$14+1,1))</f>
        <v>317.13087551964747</v>
      </c>
      <c r="DU64" s="60">
        <f t="shared" si="44"/>
        <v>293.43300041793185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3.4400000000000035</v>
      </c>
      <c r="EJ64" s="13">
        <f>IF('Données projet'!$A$192&gt;35,EJ63+EI64-ER63,IF(A64&lt;'Données projet'!$A$192,$EG$205^A64,IF(A64='Données projet'!$A$192,'Données projet'!$B$192,EJ63+EI64-ER63)))</f>
        <v>197.94000000000017</v>
      </c>
      <c r="EK64" s="18">
        <f>EJ64*VLOOKUP('Données projet'!$B$15,Paramètres!$A$1:$I$89,3,0)*VLOOKUP('Données projet'!$B$15,Paramètres!$A$1:$I$89,5,0)</f>
        <v>157.48106400000015</v>
      </c>
      <c r="EL64" s="14">
        <f t="shared" si="45"/>
        <v>40.273838707582243</v>
      </c>
      <c r="EM64" s="22">
        <f t="shared" si="19"/>
        <v>344.42312221570597</v>
      </c>
      <c r="EN64" s="60">
        <f t="shared" si="20"/>
        <v>637.75645554903929</v>
      </c>
      <c r="EO64" s="60">
        <f ca="1">AVERAGE(OFFSET($EN$3,0,0,'Données projet'!$E$15+1,1))-AVERAGE(OFFSET($H$3,0,0,'Données projet'!$E$15+1,1))</f>
        <v>253.03289960511904</v>
      </c>
      <c r="EP64" s="60">
        <f t="shared" si="46"/>
        <v>236.85088713056018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3.4400000000000035</v>
      </c>
      <c r="FE64" s="13">
        <f>IF('Données projet'!$A$218&gt;35,FE63+FD64-FM63,IF(A64&lt;'Données projet'!$A$218,$FB$205^A64,IF(A64='Données projet'!$A$218,'Données projet'!$B$218,FE63+FD64-FM63)))</f>
        <v>197.94000000000017</v>
      </c>
      <c r="FF64" s="18">
        <f>FE64*VLOOKUP('Données projet'!$B$16,Paramètres!$A$1:$I$89,3,0)*VLOOKUP('Données projet'!$B$16,Paramètres!$A$1:$I$89,5,0)</f>
        <v>172.92038400000015</v>
      </c>
      <c r="FG64" s="14">
        <f t="shared" si="47"/>
        <v>43.743442656346502</v>
      </c>
      <c r="FH64" s="22">
        <f t="shared" si="22"/>
        <v>377.35616475980373</v>
      </c>
      <c r="FI64" s="60">
        <f t="shared" si="23"/>
        <v>670.68949809313699</v>
      </c>
      <c r="FJ64" s="60">
        <f ca="1">AVERAGE(OFFSET($FI$3,0,0,'Données projet'!$E$16+1,1))-AVERAGE(OFFSET($H$3,0,0,'Données projet'!$E$16+1,1))</f>
        <v>274.38315511766132</v>
      </c>
      <c r="FK64" s="60">
        <f t="shared" si="48"/>
        <v>255.96663040027175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13.777777777777779</v>
      </c>
      <c r="FZ64" s="13">
        <f>IF('Données projet'!$A$244&gt;35,FZ63+FY64-GH63,IF(A64&lt;'Données projet'!$A$244,$FW$205^A64,IF(A64='Données projet'!$A$244,'Données projet'!$B$244,FZ63+FY64-GH63)))</f>
        <v>247.7777777777776</v>
      </c>
      <c r="GA64" s="18">
        <f>FZ64*VLOOKUP('Données projet'!$B$17,Paramètres!$A$1:$I$89,3,0)*VLOOKUP('Données projet'!$B$17,Paramètres!$A$1:$I$89,5,0)</f>
        <v>212.59333333333319</v>
      </c>
      <c r="GB64" s="14">
        <f t="shared" si="49"/>
        <v>52.501888831663351</v>
      </c>
      <c r="GC64" s="22">
        <f t="shared" si="25"/>
        <v>461.70751193736891</v>
      </c>
      <c r="GD64" s="60">
        <f t="shared" si="26"/>
        <v>755.04084527070222</v>
      </c>
      <c r="GE64" s="60">
        <f ca="1">AVERAGE(OFFSET($GD$3,0,0,'Données projet'!$E$17+1,1))-AVERAGE(OFFSET($H$3,0,0,'Données projet'!$E$17+1,1))</f>
        <v>445.81166342116865</v>
      </c>
      <c r="GF64" s="60">
        <f t="shared" si="50"/>
        <v>230.82970731138215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8.6666666666666661</v>
      </c>
      <c r="GU64" s="13">
        <f>IF('Données projet'!$A$270&gt;35,GU63+GT64-HC63,IF(A64&lt;'Données projet'!$A$270,$GR$205^A64,IF(A64='Données projet'!$A$270,'Données projet'!$B$270,GU63+GT64-HC63)))</f>
        <v>258.66666666666657</v>
      </c>
      <c r="GV64" s="18">
        <f>GU64*VLOOKUP('Données projet'!$B$18,Paramètres!$A$1:$I$89,3,0)*VLOOKUP('Données projet'!$B$18,Paramètres!$A$1:$I$89,5,0)</f>
        <v>201.75999999999993</v>
      </c>
      <c r="GW64" s="14">
        <f t="shared" si="51"/>
        <v>50.130765000424169</v>
      </c>
      <c r="GX64" s="22">
        <f t="shared" si="28"/>
        <v>438.70974904240529</v>
      </c>
      <c r="GY64" s="60">
        <f t="shared" si="29"/>
        <v>732.04308237573855</v>
      </c>
      <c r="GZ64" s="60">
        <f ca="1">AVERAGE(OFFSET($GY$3,0,0,'Données projet'!$E$18+1,1))-AVERAGE(OFFSET($H$3,0,0,'Données projet'!$E$18+1,1))</f>
        <v>289.19475369871481</v>
      </c>
      <c r="HA64" s="60">
        <f t="shared" si="52"/>
        <v>283.48738729114024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projet'!$B$18,Paramètres!$A$1:$I$89,3,0)*0.475*44/12</f>
        <v>0</v>
      </c>
      <c r="HH64" s="23">
        <f>EXP(-LN(2)/25)*HH63+(1-EXP(-LN(2)/25))/(LN(2)/25)*Calculateur!HC64*Calculateur!HE64*VLOOKUP('Données projet'!$B$18,Paramètres!$A$1:$I$89,3,0)*0.475*44/12</f>
        <v>0</v>
      </c>
      <c r="HI64" s="23">
        <f>EXP(-LN(2)/2)*HI63+(1-EXP(-LN(2)/2))/(LN(2)/2)*HC64*HF64*VLOOKUP('Données projet'!$B$18,Paramètres!$A$1:$I$89,3,0)*0.475*44/12</f>
        <v>0</v>
      </c>
      <c r="HJ64" s="24">
        <f t="shared" si="30"/>
        <v>0</v>
      </c>
    </row>
    <row r="65" spans="1:218" s="5" customFormat="1" x14ac:dyDescent="0.3">
      <c r="A65" s="11">
        <f t="shared" si="31"/>
        <v>62</v>
      </c>
      <c r="B65" s="75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8">
        <f t="shared" si="1"/>
        <v>256.66666666666669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228.39999999999995</v>
      </c>
      <c r="O65" s="14">
        <f>N65*VLOOKUP('Données projet'!$B$9,Paramètres!$A$1:$I$89,3,0)*VLOOKUP('Données projet'!$B$9,Paramètres!$A$1:$I$89,5,0)</f>
        <v>220.90847999999997</v>
      </c>
      <c r="P65" s="14">
        <f t="shared" si="33"/>
        <v>54.312291977864817</v>
      </c>
      <c r="Q65" s="22">
        <f t="shared" si="53"/>
        <v>479.34284452811448</v>
      </c>
      <c r="R65" s="60">
        <f t="shared" si="0"/>
        <v>772.67617786144774</v>
      </c>
      <c r="S65" s="60">
        <f ca="1">AVERAGE(OFFSET($R$3,0,0,'Données projet'!$E$9+1,1))-AVERAGE(OFFSET($H$3,0,0,'Données projet'!$E$9+1,1))</f>
        <v>456.86147223520601</v>
      </c>
      <c r="T65" s="60">
        <f t="shared" si="34"/>
        <v>244.45149244446094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1.1499999999999999</v>
      </c>
      <c r="AI65" s="14">
        <f>IF('Données projet'!$A$62&gt;35,AI64+AH65-AQ64,IF(A65&lt;'Données projet'!$A$62,$AF$205^A65,IF(A65='Données projet'!$A$62,'Données projet'!$B$62,AI64+AH65-AQ64)))</f>
        <v>158.30000000000015</v>
      </c>
      <c r="AJ65" s="14">
        <f>AI65*VLOOKUP('Données projet'!$B$10,Paramètres!$A$1:$I$89,3,0)*VLOOKUP('Données projet'!$B$10,Paramètres!$A$1:$I$89,5,0)</f>
        <v>103.7181600000001</v>
      </c>
      <c r="AK65" s="14">
        <f t="shared" si="35"/>
        <v>27.845907064045178</v>
      </c>
      <c r="AL65" s="22">
        <f t="shared" si="4"/>
        <v>229.14075013654551</v>
      </c>
      <c r="AM65" s="60">
        <f t="shared" si="5"/>
        <v>522.47408346987879</v>
      </c>
      <c r="AN65" s="60">
        <f ca="1">AVERAGE(OFFSET($AM$3,0,0,'Données projet'!$E$10+1,1))-AVERAGE(OFFSET($H$3,0,0,'Données projet'!$E$10+1,1))</f>
        <v>170.79567854714986</v>
      </c>
      <c r="AO65" s="60">
        <f t="shared" si="36"/>
        <v>155.92788004111191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-1.1368683772161603E-13</v>
      </c>
      <c r="BE65" s="14">
        <f>BD65*VLOOKUP('Données projet'!$B$11,Paramètres!$A$1:$I$89,3,0)*VLOOKUP('Données projet'!$B$11,Paramètres!$A$1:$I$89,5,0)</f>
        <v>-9.2222762759774927E-14</v>
      </c>
      <c r="BF65" s="14" t="e">
        <f t="shared" si="37"/>
        <v>#NUM!</v>
      </c>
      <c r="BG65" s="22" t="e">
        <f t="shared" si="7"/>
        <v>#NUM!</v>
      </c>
      <c r="BH65" s="60" t="e">
        <f t="shared" si="8"/>
        <v>#NUM!</v>
      </c>
      <c r="BI65" s="60">
        <f ca="1">AVERAGE(OFFSET($BH$3,0,0,'Données projet'!$E$11+1,1))-AVERAGE(OFFSET($H$3,0,0,'Données projet'!$E$11+1,1))</f>
        <v>256.19915261735281</v>
      </c>
      <c r="BJ65" s="60">
        <f t="shared" si="38"/>
        <v>297.47246687305056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4.4871794871794863</v>
      </c>
      <c r="BY65" s="13">
        <f>IF('Données projet'!$A$114&gt;35,BY64+BX65-CG64,IF(A65&lt;'Données projet'!$A$114,$BV$205^A65,IF(A65='Données projet'!$A$114,'Données projet'!$B$114,BY64+BX65-CG64)))</f>
        <v>187.1794871794871</v>
      </c>
      <c r="BZ65" s="14">
        <f>BY65*VLOOKUP('Données projet'!$B$12,Paramètres!$A$1:$I$89,3,0)*VLOOKUP('Données projet'!$B$12,Paramètres!$A$1:$I$89,5,0)</f>
        <v>178.11999999999992</v>
      </c>
      <c r="CA65" s="14">
        <f t="shared" si="39"/>
        <v>44.90366556024162</v>
      </c>
      <c r="CB65" s="22">
        <f t="shared" si="10"/>
        <v>388.4328841840873</v>
      </c>
      <c r="CC65" s="60">
        <f t="shared" si="11"/>
        <v>681.76621751742061</v>
      </c>
      <c r="CD65" s="60">
        <f ca="1">AVERAGE(OFFSET($CC$3,0,0,'Données projet'!$E$12+1,1))-AVERAGE(OFFSET($H$3,0,0,'Données projet'!$E$12+1,1))</f>
        <v>353.53401919391234</v>
      </c>
      <c r="CE65" s="60">
        <f t="shared" si="40"/>
        <v>244.7141066773861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7.2</v>
      </c>
      <c r="CT65" s="13">
        <f>IF('Données projet'!$A$140&gt;35,CT64+CS65-DB64,IF(A65&lt;'Données projet'!$A$140,$CQ$205^A65,IF(A65='Données projet'!$A$140,'Données projet'!$B$140,CT64+CS65-DB64)))</f>
        <v>228.39999999999995</v>
      </c>
      <c r="CU65" s="18">
        <f>CT65*VLOOKUP('Données projet'!$B$13,Paramètres!$A$1:$I$89,3,0)*VLOOKUP('Données projet'!$B$13,Paramètres!$A$1:$I$89,5,0)</f>
        <v>192.40415999999999</v>
      </c>
      <c r="CV65" s="14">
        <f t="shared" si="41"/>
        <v>48.071088890795593</v>
      </c>
      <c r="CW65" s="22">
        <f t="shared" si="13"/>
        <v>418.82772515146894</v>
      </c>
      <c r="CX65" s="60">
        <f t="shared" si="14"/>
        <v>712.1610584848022</v>
      </c>
      <c r="CY65" s="60">
        <f ca="1">AVERAGE(OFFSET($CX$3,0,0,'Données projet'!$E$13+1,1))-AVERAGE(OFFSET($H$3,0,0,'Données projet'!$E$13+1,1))</f>
        <v>403.33327536410098</v>
      </c>
      <c r="CZ65" s="60">
        <f t="shared" si="42"/>
        <v>218.26721063098552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4.3400000000000034</v>
      </c>
      <c r="DO65" s="13">
        <f>IF('Données projet'!$A$166&gt;35,DO64+DN65-DW64,IF(A65&lt;'Données projet'!$A$166,$DL$205^A65,IF(A65='Données projet'!$A$166,'Données projet'!$B$166,DO64+DN65-DW64)))</f>
        <v>253.5800000000001</v>
      </c>
      <c r="DP65" s="18">
        <f>DO65*VLOOKUP('Données projet'!$B$14,Paramètres!$A$1:$I$89,3,0)*VLOOKUP('Données projet'!$B$14,Paramètres!$A$1:$I$89,5,0)</f>
        <v>201.74824800000007</v>
      </c>
      <c r="DQ65" s="14">
        <f t="shared" si="43"/>
        <v>50.128184890405926</v>
      </c>
      <c r="DR65" s="22">
        <f t="shared" si="16"/>
        <v>438.68478728412373</v>
      </c>
      <c r="DS65" s="60">
        <f t="shared" si="17"/>
        <v>732.01812061745704</v>
      </c>
      <c r="DT65" s="60">
        <f ca="1">AVERAGE(OFFSET($DS$3,0,0,'Données projet'!$E$14+1,1))-AVERAGE(OFFSET($H$3,0,0,'Données projet'!$E$14+1,1))</f>
        <v>317.13087551964747</v>
      </c>
      <c r="DU65" s="60">
        <f t="shared" si="44"/>
        <v>293.43300041793185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3.4400000000000035</v>
      </c>
      <c r="EJ65" s="13">
        <f>IF('Données projet'!$A$192&gt;35,EJ64+EI65-ER64,IF(A65&lt;'Données projet'!$A$192,$EG$205^A65,IF(A65='Données projet'!$A$192,'Données projet'!$B$192,EJ64+EI65-ER64)))</f>
        <v>201.38000000000017</v>
      </c>
      <c r="EK65" s="18">
        <f>EJ65*VLOOKUP('Données projet'!$B$15,Paramètres!$A$1:$I$89,3,0)*VLOOKUP('Données projet'!$B$15,Paramètres!$A$1:$I$89,5,0)</f>
        <v>160.21792800000014</v>
      </c>
      <c r="EL65" s="14">
        <f t="shared" si="45"/>
        <v>40.891665780855888</v>
      </c>
      <c r="EM65" s="22">
        <f t="shared" si="19"/>
        <v>350.26587583499082</v>
      </c>
      <c r="EN65" s="60">
        <f t="shared" si="20"/>
        <v>643.59920916832414</v>
      </c>
      <c r="EO65" s="60">
        <f ca="1">AVERAGE(OFFSET($EN$3,0,0,'Données projet'!$E$15+1,1))-AVERAGE(OFFSET($H$3,0,0,'Données projet'!$E$15+1,1))</f>
        <v>253.03289960511904</v>
      </c>
      <c r="EP65" s="60">
        <f t="shared" si="46"/>
        <v>236.85088713056018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3.4400000000000035</v>
      </c>
      <c r="FE65" s="13">
        <f>IF('Données projet'!$A$218&gt;35,FE64+FD65-FM64,IF(A65&lt;'Données projet'!$A$218,$FB$205^A65,IF(A65='Données projet'!$A$218,'Données projet'!$B$218,FE64+FD65-FM64)))</f>
        <v>201.38000000000017</v>
      </c>
      <c r="FF65" s="18">
        <f>FE65*VLOOKUP('Données projet'!$B$16,Paramètres!$A$1:$I$89,3,0)*VLOOKUP('Données projet'!$B$16,Paramètres!$A$1:$I$89,5,0)</f>
        <v>175.92556800000017</v>
      </c>
      <c r="FG65" s="14">
        <f t="shared" si="47"/>
        <v>44.414495727485608</v>
      </c>
      <c r="FH65" s="22">
        <f t="shared" si="22"/>
        <v>383.75894432537103</v>
      </c>
      <c r="FI65" s="60">
        <f t="shared" si="23"/>
        <v>677.09227765870435</v>
      </c>
      <c r="FJ65" s="60">
        <f ca="1">AVERAGE(OFFSET($FI$3,0,0,'Données projet'!$E$16+1,1))-AVERAGE(OFFSET($H$3,0,0,'Données projet'!$E$16+1,1))</f>
        <v>274.38315511766132</v>
      </c>
      <c r="FK65" s="60">
        <f t="shared" si="48"/>
        <v>255.96663040027175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13.777777777777779</v>
      </c>
      <c r="FZ65" s="13">
        <f>IF('Données projet'!$A$244&gt;35,FZ64+FY65-GH64,IF(A65&lt;'Données projet'!$A$244,$FW$205^A65,IF(A65='Données projet'!$A$244,'Données projet'!$B$244,FZ64+FY65-GH64)))</f>
        <v>261.55555555555537</v>
      </c>
      <c r="GA65" s="18">
        <f>FZ65*VLOOKUP('Données projet'!$B$17,Paramètres!$A$1:$I$89,3,0)*VLOOKUP('Données projet'!$B$17,Paramètres!$A$1:$I$89,5,0)</f>
        <v>224.41466666666653</v>
      </c>
      <c r="GB65" s="14">
        <f t="shared" si="49"/>
        <v>55.073279400945509</v>
      </c>
      <c r="GC65" s="22">
        <f t="shared" si="25"/>
        <v>486.77483940109096</v>
      </c>
      <c r="GD65" s="60">
        <f t="shared" si="26"/>
        <v>780.10817273442422</v>
      </c>
      <c r="GE65" s="60">
        <f ca="1">AVERAGE(OFFSET($GD$3,0,0,'Données projet'!$E$17+1,1))-AVERAGE(OFFSET($H$3,0,0,'Données projet'!$E$17+1,1))</f>
        <v>445.81166342116865</v>
      </c>
      <c r="GF65" s="60">
        <f t="shared" si="50"/>
        <v>230.82970731138215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8.6666666666666661</v>
      </c>
      <c r="GU65" s="13">
        <f>IF('Données projet'!$A$270&gt;35,GU64+GT65-HC64,IF(A65&lt;'Données projet'!$A$270,$GR$205^A65,IF(A65='Données projet'!$A$270,'Données projet'!$B$270,GU64+GT65-HC64)))</f>
        <v>267.33333333333326</v>
      </c>
      <c r="GV65" s="18">
        <f>GU65*VLOOKUP('Données projet'!$B$18,Paramètres!$A$1:$I$89,3,0)*VLOOKUP('Données projet'!$B$18,Paramètres!$A$1:$I$89,5,0)</f>
        <v>208.51999999999995</v>
      </c>
      <c r="GW65" s="14">
        <f t="shared" si="51"/>
        <v>51.612035456318459</v>
      </c>
      <c r="GX65" s="22">
        <f t="shared" si="28"/>
        <v>453.06329508642119</v>
      </c>
      <c r="GY65" s="60">
        <f t="shared" si="29"/>
        <v>746.39662841975451</v>
      </c>
      <c r="GZ65" s="60">
        <f ca="1">AVERAGE(OFFSET($GY$3,0,0,'Données projet'!$E$18+1,1))-AVERAGE(OFFSET($H$3,0,0,'Données projet'!$E$18+1,1))</f>
        <v>289.19475369871481</v>
      </c>
      <c r="HA65" s="60">
        <f t="shared" si="52"/>
        <v>283.48738729114024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projet'!$B$18,Paramètres!$A$1:$I$89,3,0)*0.475*44/12</f>
        <v>0</v>
      </c>
      <c r="HH65" s="23">
        <f>EXP(-LN(2)/25)*HH64+(1-EXP(-LN(2)/25))/(LN(2)/25)*Calculateur!HC65*Calculateur!HE65*VLOOKUP('Données projet'!$B$18,Paramètres!$A$1:$I$89,3,0)*0.475*44/12</f>
        <v>0</v>
      </c>
      <c r="HI65" s="23">
        <f>EXP(-LN(2)/2)*HI64+(1-EXP(-LN(2)/2))/(LN(2)/2)*HC65*HF65*VLOOKUP('Données projet'!$B$18,Paramètres!$A$1:$I$89,3,0)*0.475*44/12</f>
        <v>0</v>
      </c>
      <c r="HJ65" s="24">
        <f t="shared" si="30"/>
        <v>0</v>
      </c>
    </row>
    <row r="66" spans="1:218" s="5" customFormat="1" x14ac:dyDescent="0.3">
      <c r="A66" s="11">
        <f t="shared" si="31"/>
        <v>63</v>
      </c>
      <c r="B66" s="75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8">
        <f t="shared" si="1"/>
        <v>256.66666666666669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235.59999999999994</v>
      </c>
      <c r="O66" s="14">
        <f>N66*VLOOKUP('Données projet'!$B$9,Paramètres!$A$1:$I$89,3,0)*VLOOKUP('Données projet'!$B$9,Paramètres!$A$1:$I$89,5,0)</f>
        <v>227.87231999999997</v>
      </c>
      <c r="P66" s="14">
        <f t="shared" si="33"/>
        <v>55.822378821981488</v>
      </c>
      <c r="Q66" s="22">
        <f t="shared" si="53"/>
        <v>494.10160044828439</v>
      </c>
      <c r="R66" s="60">
        <f t="shared" si="0"/>
        <v>787.4349337816177</v>
      </c>
      <c r="S66" s="60">
        <f ca="1">AVERAGE(OFFSET($R$3,0,0,'Données projet'!$E$9+1,1))-AVERAGE(OFFSET($H$3,0,0,'Données projet'!$E$9+1,1))</f>
        <v>456.86147223520601</v>
      </c>
      <c r="T66" s="60">
        <f t="shared" si="34"/>
        <v>244.45149244446094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1.1499999999999999</v>
      </c>
      <c r="AI66" s="14">
        <f>IF('Données projet'!$A$62&gt;35,AI65+AH66-AQ65,IF(A66&lt;'Données projet'!$A$62,$AF$205^A66,IF(A66='Données projet'!$A$62,'Données projet'!$B$62,AI65+AH66-AQ65)))</f>
        <v>159.45000000000016</v>
      </c>
      <c r="AJ66" s="14">
        <f>AI66*VLOOKUP('Données projet'!$B$10,Paramètres!$A$1:$I$89,3,0)*VLOOKUP('Données projet'!$B$10,Paramètres!$A$1:$I$89,5,0)</f>
        <v>104.47164000000011</v>
      </c>
      <c r="AK66" s="14">
        <f t="shared" si="35"/>
        <v>28.024576734398689</v>
      </c>
      <c r="AL66" s="22">
        <f t="shared" si="4"/>
        <v>230.76424414574456</v>
      </c>
      <c r="AM66" s="60">
        <f t="shared" si="5"/>
        <v>524.09757747907793</v>
      </c>
      <c r="AN66" s="60">
        <f ca="1">AVERAGE(OFFSET($AM$3,0,0,'Données projet'!$E$10+1,1))-AVERAGE(OFFSET($H$3,0,0,'Données projet'!$E$10+1,1))</f>
        <v>170.79567854714986</v>
      </c>
      <c r="AO66" s="60">
        <f t="shared" si="36"/>
        <v>155.92788004111191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-1.1368683772161603E-13</v>
      </c>
      <c r="BE66" s="14">
        <f>BD66*VLOOKUP('Données projet'!$B$11,Paramètres!$A$1:$I$89,3,0)*VLOOKUP('Données projet'!$B$11,Paramètres!$A$1:$I$89,5,0)</f>
        <v>-9.2222762759774927E-14</v>
      </c>
      <c r="BF66" s="14" t="e">
        <f t="shared" si="37"/>
        <v>#NUM!</v>
      </c>
      <c r="BG66" s="22" t="e">
        <f t="shared" si="7"/>
        <v>#NUM!</v>
      </c>
      <c r="BH66" s="60" t="e">
        <f t="shared" si="8"/>
        <v>#NUM!</v>
      </c>
      <c r="BI66" s="60">
        <f ca="1">AVERAGE(OFFSET($BH$3,0,0,'Données projet'!$E$11+1,1))-AVERAGE(OFFSET($H$3,0,0,'Données projet'!$E$11+1,1))</f>
        <v>256.19915261735281</v>
      </c>
      <c r="BJ66" s="60">
        <f t="shared" si="38"/>
        <v>297.47246687305056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4.4871794871794863</v>
      </c>
      <c r="BY66" s="13">
        <f>IF('Données projet'!$A$114&gt;35,BY65+BX66-CG65,IF(A66&lt;'Données projet'!$A$114,$BV$205^A66,IF(A66='Données projet'!$A$114,'Données projet'!$B$114,BY65+BX66-CG65)))</f>
        <v>191.66666666666657</v>
      </c>
      <c r="BZ66" s="14">
        <f>BY66*VLOOKUP('Données projet'!$B$12,Paramètres!$A$1:$I$89,3,0)*VLOOKUP('Données projet'!$B$12,Paramètres!$A$1:$I$89,5,0)</f>
        <v>182.3899999999999</v>
      </c>
      <c r="CA66" s="14">
        <f t="shared" si="39"/>
        <v>45.853508245632462</v>
      </c>
      <c r="CB66" s="22">
        <f t="shared" si="10"/>
        <v>397.52411019447635</v>
      </c>
      <c r="CC66" s="60">
        <f t="shared" si="11"/>
        <v>690.85744352780966</v>
      </c>
      <c r="CD66" s="60">
        <f ca="1">AVERAGE(OFFSET($CC$3,0,0,'Données projet'!$E$12+1,1))-AVERAGE(OFFSET($H$3,0,0,'Données projet'!$E$12+1,1))</f>
        <v>353.53401919391234</v>
      </c>
      <c r="CE66" s="60">
        <f t="shared" si="40"/>
        <v>244.7141066773861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7.2</v>
      </c>
      <c r="CT66" s="13">
        <f>IF('Données projet'!$A$140&gt;35,CT65+CS66-DB65,IF(A66&lt;'Données projet'!$A$140,$CQ$205^A66,IF(A66='Données projet'!$A$140,'Données projet'!$B$140,CT65+CS66-DB65)))</f>
        <v>235.59999999999994</v>
      </c>
      <c r="CU66" s="18">
        <f>CT66*VLOOKUP('Données projet'!$B$13,Paramètres!$A$1:$I$89,3,0)*VLOOKUP('Données projet'!$B$13,Paramètres!$A$1:$I$89,5,0)</f>
        <v>198.46943999999996</v>
      </c>
      <c r="CV66" s="14">
        <f t="shared" si="41"/>
        <v>49.407646717262175</v>
      </c>
      <c r="CW66" s="22">
        <f t="shared" si="13"/>
        <v>431.71925936589815</v>
      </c>
      <c r="CX66" s="60">
        <f t="shared" si="14"/>
        <v>725.05259269923147</v>
      </c>
      <c r="CY66" s="60">
        <f ca="1">AVERAGE(OFFSET($CX$3,0,0,'Données projet'!$E$13+1,1))-AVERAGE(OFFSET($H$3,0,0,'Données projet'!$E$13+1,1))</f>
        <v>403.33327536410098</v>
      </c>
      <c r="CZ66" s="60">
        <f t="shared" si="42"/>
        <v>218.26721063098552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4.3400000000000034</v>
      </c>
      <c r="DO66" s="13">
        <f>IF('Données projet'!$A$166&gt;35,DO65+DN66-DW65,IF(A66&lt;'Données projet'!$A$166,$DL$205^A66,IF(A66='Données projet'!$A$166,'Données projet'!$B$166,DO65+DN66-DW65)))</f>
        <v>257.92000000000007</v>
      </c>
      <c r="DP66" s="18">
        <f>DO66*VLOOKUP('Données projet'!$B$14,Paramètres!$A$1:$I$89,3,0)*VLOOKUP('Données projet'!$B$14,Paramètres!$A$1:$I$89,5,0)</f>
        <v>205.20115200000009</v>
      </c>
      <c r="DQ66" s="14">
        <f t="shared" si="43"/>
        <v>50.885509972660159</v>
      </c>
      <c r="DR66" s="22">
        <f t="shared" si="16"/>
        <v>446.01760293571652</v>
      </c>
      <c r="DS66" s="60">
        <f t="shared" si="17"/>
        <v>739.35093626904984</v>
      </c>
      <c r="DT66" s="60">
        <f ca="1">AVERAGE(OFFSET($DS$3,0,0,'Données projet'!$E$14+1,1))-AVERAGE(OFFSET($H$3,0,0,'Données projet'!$E$14+1,1))</f>
        <v>317.13087551964747</v>
      </c>
      <c r="DU66" s="60">
        <f t="shared" si="44"/>
        <v>293.43300041793185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3.4400000000000035</v>
      </c>
      <c r="EJ66" s="13">
        <f>IF('Données projet'!$A$192&gt;35,EJ65+EI66-ER65,IF(A66&lt;'Données projet'!$A$192,$EG$205^A66,IF(A66='Données projet'!$A$192,'Données projet'!$B$192,EJ65+EI66-ER65)))</f>
        <v>204.82000000000016</v>
      </c>
      <c r="EK66" s="18">
        <f>EJ66*VLOOKUP('Données projet'!$B$15,Paramètres!$A$1:$I$89,3,0)*VLOOKUP('Données projet'!$B$15,Paramètres!$A$1:$I$89,5,0)</f>
        <v>162.95479200000014</v>
      </c>
      <c r="EL66" s="14">
        <f t="shared" si="45"/>
        <v>41.508265548697231</v>
      </c>
      <c r="EM66" s="22">
        <f t="shared" si="19"/>
        <v>356.10649189731458</v>
      </c>
      <c r="EN66" s="60">
        <f t="shared" si="20"/>
        <v>649.4398252306479</v>
      </c>
      <c r="EO66" s="60">
        <f ca="1">AVERAGE(OFFSET($EN$3,0,0,'Données projet'!$E$15+1,1))-AVERAGE(OFFSET($H$3,0,0,'Données projet'!$E$15+1,1))</f>
        <v>253.03289960511904</v>
      </c>
      <c r="EP66" s="60">
        <f t="shared" si="46"/>
        <v>236.85088713056018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3.4400000000000035</v>
      </c>
      <c r="FE66" s="13">
        <f>IF('Données projet'!$A$218&gt;35,FE65+FD66-FM65,IF(A66&lt;'Données projet'!$A$218,$FB$205^A66,IF(A66='Données projet'!$A$218,'Données projet'!$B$218,FE65+FD66-FM65)))</f>
        <v>204.82000000000016</v>
      </c>
      <c r="FF66" s="18">
        <f>FE66*VLOOKUP('Données projet'!$B$16,Paramètres!$A$1:$I$89,3,0)*VLOOKUP('Données projet'!$B$16,Paramètres!$A$1:$I$89,5,0)</f>
        <v>178.93075200000015</v>
      </c>
      <c r="FG66" s="14">
        <f t="shared" si="47"/>
        <v>45.084215760441054</v>
      </c>
      <c r="FH66" s="22">
        <f t="shared" si="22"/>
        <v>390.15940218276842</v>
      </c>
      <c r="FI66" s="60">
        <f t="shared" si="23"/>
        <v>683.49273551610167</v>
      </c>
      <c r="FJ66" s="60">
        <f ca="1">AVERAGE(OFFSET($FI$3,0,0,'Données projet'!$E$16+1,1))-AVERAGE(OFFSET($H$3,0,0,'Données projet'!$E$16+1,1))</f>
        <v>274.38315511766132</v>
      </c>
      <c r="FK66" s="60">
        <f t="shared" si="48"/>
        <v>255.96663040027175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13.777777777777779</v>
      </c>
      <c r="FZ66" s="13">
        <f>IF('Données projet'!$A$244&gt;35,FZ65+FY66-GH65,IF(A66&lt;'Données projet'!$A$244,$FW$205^A66,IF(A66='Données projet'!$A$244,'Données projet'!$B$244,FZ65+FY66-GH65)))</f>
        <v>275.33333333333314</v>
      </c>
      <c r="GA66" s="18">
        <f>FZ66*VLOOKUP('Données projet'!$B$17,Paramètres!$A$1:$I$89,3,0)*VLOOKUP('Données projet'!$B$17,Paramètres!$A$1:$I$89,5,0)</f>
        <v>236.23599999999988</v>
      </c>
      <c r="GB66" s="14">
        <f t="shared" si="49"/>
        <v>57.628943995616872</v>
      </c>
      <c r="GC66" s="22">
        <f t="shared" si="25"/>
        <v>511.81477745903248</v>
      </c>
      <c r="GD66" s="60">
        <f t="shared" si="26"/>
        <v>805.14811079236574</v>
      </c>
      <c r="GE66" s="60">
        <f ca="1">AVERAGE(OFFSET($GD$3,0,0,'Données projet'!$E$17+1,1))-AVERAGE(OFFSET($H$3,0,0,'Données projet'!$E$17+1,1))</f>
        <v>445.81166342116865</v>
      </c>
      <c r="GF66" s="60">
        <f t="shared" si="50"/>
        <v>230.82970731138215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8.6666666666666661</v>
      </c>
      <c r="GU66" s="13">
        <f>IF('Données projet'!$A$270&gt;35,GU65+GT66-HC65,IF(A66&lt;'Données projet'!$A$270,$GR$205^A66,IF(A66='Données projet'!$A$270,'Données projet'!$B$270,GU65+GT66-HC65)))</f>
        <v>275.99999999999994</v>
      </c>
      <c r="GV66" s="18">
        <f>GU66*VLOOKUP('Données projet'!$B$18,Paramètres!$A$1:$I$89,3,0)*VLOOKUP('Données projet'!$B$18,Paramètres!$A$1:$I$89,5,0)</f>
        <v>215.27999999999997</v>
      </c>
      <c r="GW66" s="14">
        <f t="shared" si="51"/>
        <v>53.087725740853138</v>
      </c>
      <c r="GX66" s="22">
        <f t="shared" si="28"/>
        <v>467.40712233198587</v>
      </c>
      <c r="GY66" s="60">
        <f t="shared" si="29"/>
        <v>760.74045566531913</v>
      </c>
      <c r="GZ66" s="60">
        <f ca="1">AVERAGE(OFFSET($GY$3,0,0,'Données projet'!$E$18+1,1))-AVERAGE(OFFSET($H$3,0,0,'Données projet'!$E$18+1,1))</f>
        <v>289.19475369871481</v>
      </c>
      <c r="HA66" s="60">
        <f t="shared" si="52"/>
        <v>283.48738729114024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projet'!$B$18,Paramètres!$A$1:$I$89,3,0)*0.475*44/12</f>
        <v>0</v>
      </c>
      <c r="HH66" s="23">
        <f>EXP(-LN(2)/25)*HH65+(1-EXP(-LN(2)/25))/(LN(2)/25)*Calculateur!HC66*Calculateur!HE66*VLOOKUP('Données projet'!$B$18,Paramètres!$A$1:$I$89,3,0)*0.475*44/12</f>
        <v>0</v>
      </c>
      <c r="HI66" s="23">
        <f>EXP(-LN(2)/2)*HI65+(1-EXP(-LN(2)/2))/(LN(2)/2)*HC66*HF66*VLOOKUP('Données projet'!$B$18,Paramètres!$A$1:$I$89,3,0)*0.475*44/12</f>
        <v>0</v>
      </c>
      <c r="HJ66" s="24">
        <f t="shared" si="30"/>
        <v>0</v>
      </c>
    </row>
    <row r="67" spans="1:218" s="5" customFormat="1" x14ac:dyDescent="0.3">
      <c r="A67" s="11">
        <f t="shared" si="31"/>
        <v>64</v>
      </c>
      <c r="B67" s="75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8">
        <f t="shared" si="1"/>
        <v>256.66666666666669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242.79999999999993</v>
      </c>
      <c r="O67" s="14">
        <f>N67*VLOOKUP('Données projet'!$B$9,Paramètres!$A$1:$I$89,3,0)*VLOOKUP('Données projet'!$B$9,Paramètres!$A$1:$I$89,5,0)</f>
        <v>234.83615999999992</v>
      </c>
      <c r="P67" s="14">
        <f t="shared" si="33"/>
        <v>57.327102622427432</v>
      </c>
      <c r="Q67" s="22">
        <f t="shared" ref="Q67:Q98" si="54">(O67+P67)*0.475*44/12</f>
        <v>508.85101573406092</v>
      </c>
      <c r="R67" s="60">
        <f t="shared" ref="R67:R130" si="55">Q67+(I67+J67)*44/12</f>
        <v>802.18434906739424</v>
      </c>
      <c r="S67" s="60">
        <f ca="1">AVERAGE(OFFSET($R$3,0,0,'Données projet'!$E$9+1,1))-AVERAGE(OFFSET($H$3,0,0,'Données projet'!$E$9+1,1))</f>
        <v>456.86147223520601</v>
      </c>
      <c r="T67" s="60">
        <f t="shared" si="34"/>
        <v>244.45149244446094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1.1499999999999999</v>
      </c>
      <c r="AI67" s="14">
        <f>IF('Données projet'!$A$62&gt;35,AI66+AH67-AQ66,IF(A67&lt;'Données projet'!$A$62,$AF$205^A67,IF(A67='Données projet'!$A$62,'Données projet'!$B$62,AI66+AH67-AQ66)))</f>
        <v>160.60000000000016</v>
      </c>
      <c r="AJ67" s="14">
        <f>AI67*VLOOKUP('Données projet'!$B$10,Paramètres!$A$1:$I$89,3,0)*VLOOKUP('Données projet'!$B$10,Paramètres!$A$1:$I$89,5,0)</f>
        <v>105.22512000000012</v>
      </c>
      <c r="AK67" s="14">
        <f t="shared" si="35"/>
        <v>28.203096471199718</v>
      </c>
      <c r="AL67" s="22">
        <f t="shared" si="4"/>
        <v>232.38747702067306</v>
      </c>
      <c r="AM67" s="60">
        <f t="shared" si="5"/>
        <v>525.7208103540064</v>
      </c>
      <c r="AN67" s="60">
        <f ca="1">AVERAGE(OFFSET($AM$3,0,0,'Données projet'!$E$10+1,1))-AVERAGE(OFFSET($H$3,0,0,'Données projet'!$E$10+1,1))</f>
        <v>170.79567854714986</v>
      </c>
      <c r="AO67" s="60">
        <f t="shared" si="36"/>
        <v>155.92788004111191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-1.1368683772161603E-13</v>
      </c>
      <c r="BE67" s="14">
        <f>BD67*VLOOKUP('Données projet'!$B$11,Paramètres!$A$1:$I$89,3,0)*VLOOKUP('Données projet'!$B$11,Paramètres!$A$1:$I$89,5,0)</f>
        <v>-9.2222762759774927E-14</v>
      </c>
      <c r="BF67" s="14" t="e">
        <f t="shared" si="37"/>
        <v>#NUM!</v>
      </c>
      <c r="BG67" s="22" t="e">
        <f t="shared" si="7"/>
        <v>#NUM!</v>
      </c>
      <c r="BH67" s="60" t="e">
        <f t="shared" si="8"/>
        <v>#NUM!</v>
      </c>
      <c r="BI67" s="60">
        <f ca="1">AVERAGE(OFFSET($BH$3,0,0,'Données projet'!$E$11+1,1))-AVERAGE(OFFSET($H$3,0,0,'Données projet'!$E$11+1,1))</f>
        <v>256.19915261735281</v>
      </c>
      <c r="BJ67" s="60">
        <f t="shared" si="38"/>
        <v>297.47246687305056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4.4871794871794863</v>
      </c>
      <c r="BY67" s="13">
        <f>IF('Données projet'!$A$114&gt;35,BY66+BX67-CG66,IF(A67&lt;'Données projet'!$A$114,$BV$205^A67,IF(A67='Données projet'!$A$114,'Données projet'!$B$114,BY66+BX67-CG66)))</f>
        <v>196.15384615384605</v>
      </c>
      <c r="BZ67" s="14">
        <f>BY67*VLOOKUP('Données projet'!$B$12,Paramètres!$A$1:$I$89,3,0)*VLOOKUP('Données projet'!$B$12,Paramètres!$A$1:$I$89,5,0)</f>
        <v>186.65999999999991</v>
      </c>
      <c r="CA67" s="14">
        <f t="shared" si="39"/>
        <v>46.800765804305463</v>
      </c>
      <c r="CB67" s="22">
        <f t="shared" si="10"/>
        <v>406.61083377583185</v>
      </c>
      <c r="CC67" s="60">
        <f t="shared" si="11"/>
        <v>699.94416710916516</v>
      </c>
      <c r="CD67" s="60">
        <f ca="1">AVERAGE(OFFSET($CC$3,0,0,'Données projet'!$E$12+1,1))-AVERAGE(OFFSET($H$3,0,0,'Données projet'!$E$12+1,1))</f>
        <v>353.53401919391234</v>
      </c>
      <c r="CE67" s="60">
        <f t="shared" si="40"/>
        <v>244.7141066773861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7.2</v>
      </c>
      <c r="CT67" s="13">
        <f>IF('Données projet'!$A$140&gt;35,CT66+CS67-DB66,IF(A67&lt;'Données projet'!$A$140,$CQ$205^A67,IF(A67='Données projet'!$A$140,'Données projet'!$B$140,CT66+CS67-DB66)))</f>
        <v>242.79999999999993</v>
      </c>
      <c r="CU67" s="18">
        <f>CT67*VLOOKUP('Données projet'!$B$13,Paramètres!$A$1:$I$89,3,0)*VLOOKUP('Données projet'!$B$13,Paramètres!$A$1:$I$89,5,0)</f>
        <v>204.53471999999996</v>
      </c>
      <c r="CV67" s="14">
        <f t="shared" si="41"/>
        <v>50.73945778494484</v>
      </c>
      <c r="CW67" s="22">
        <f t="shared" si="13"/>
        <v>444.60252630877886</v>
      </c>
      <c r="CX67" s="60">
        <f t="shared" si="14"/>
        <v>737.93585964211218</v>
      </c>
      <c r="CY67" s="60">
        <f ca="1">AVERAGE(OFFSET($CX$3,0,0,'Données projet'!$E$13+1,1))-AVERAGE(OFFSET($H$3,0,0,'Données projet'!$E$13+1,1))</f>
        <v>403.33327536410098</v>
      </c>
      <c r="CZ67" s="60">
        <f t="shared" si="42"/>
        <v>218.26721063098552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4.3400000000000034</v>
      </c>
      <c r="DO67" s="13">
        <f>IF('Données projet'!$A$166&gt;35,DO66+DN67-DW66,IF(A67&lt;'Données projet'!$A$166,$DL$205^A67,IF(A67='Données projet'!$A$166,'Données projet'!$B$166,DO66+DN67-DW66)))</f>
        <v>262.2600000000001</v>
      </c>
      <c r="DP67" s="18">
        <f>DO67*VLOOKUP('Données projet'!$B$14,Paramètres!$A$1:$I$89,3,0)*VLOOKUP('Données projet'!$B$14,Paramètres!$A$1:$I$89,5,0)</f>
        <v>208.65405600000011</v>
      </c>
      <c r="DQ67" s="14">
        <f t="shared" si="43"/>
        <v>51.641353095016001</v>
      </c>
      <c r="DR67" s="22">
        <f t="shared" si="16"/>
        <v>453.34783750715309</v>
      </c>
      <c r="DS67" s="60">
        <f t="shared" si="17"/>
        <v>746.6811708404864</v>
      </c>
      <c r="DT67" s="60">
        <f ca="1">AVERAGE(OFFSET($DS$3,0,0,'Données projet'!$E$14+1,1))-AVERAGE(OFFSET($H$3,0,0,'Données projet'!$E$14+1,1))</f>
        <v>317.13087551964747</v>
      </c>
      <c r="DU67" s="60">
        <f t="shared" si="44"/>
        <v>293.43300041793185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3.4400000000000035</v>
      </c>
      <c r="EJ67" s="13">
        <f>IF('Données projet'!$A$192&gt;35,EJ66+EI67-ER66,IF(A67&lt;'Données projet'!$A$192,$EG$205^A67,IF(A67='Données projet'!$A$192,'Données projet'!$B$192,EJ66+EI67-ER66)))</f>
        <v>208.26000000000016</v>
      </c>
      <c r="EK67" s="18">
        <f>EJ67*VLOOKUP('Données projet'!$B$15,Paramètres!$A$1:$I$89,3,0)*VLOOKUP('Données projet'!$B$15,Paramètres!$A$1:$I$89,5,0)</f>
        <v>165.69165600000014</v>
      </c>
      <c r="EL67" s="14">
        <f t="shared" si="45"/>
        <v>42.123661003027685</v>
      </c>
      <c r="EM67" s="22">
        <f t="shared" si="19"/>
        <v>361.9450104469401</v>
      </c>
      <c r="EN67" s="60">
        <f t="shared" si="20"/>
        <v>655.27834378027342</v>
      </c>
      <c r="EO67" s="60">
        <f ca="1">AVERAGE(OFFSET($EN$3,0,0,'Données projet'!$E$15+1,1))-AVERAGE(OFFSET($H$3,0,0,'Données projet'!$E$15+1,1))</f>
        <v>253.03289960511904</v>
      </c>
      <c r="EP67" s="60">
        <f t="shared" si="46"/>
        <v>236.85088713056018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3.4400000000000035</v>
      </c>
      <c r="FE67" s="13">
        <f>IF('Données projet'!$A$218&gt;35,FE66+FD67-FM66,IF(A67&lt;'Données projet'!$A$218,$FB$205^A67,IF(A67='Données projet'!$A$218,'Données projet'!$B$218,FE66+FD67-FM66)))</f>
        <v>208.26000000000016</v>
      </c>
      <c r="FF67" s="18">
        <f>FE67*VLOOKUP('Données projet'!$B$16,Paramètres!$A$1:$I$89,3,0)*VLOOKUP('Données projet'!$B$16,Paramètres!$A$1:$I$89,5,0)</f>
        <v>181.93593600000017</v>
      </c>
      <c r="FG67" s="14">
        <f t="shared" si="47"/>
        <v>45.752627727895565</v>
      </c>
      <c r="FH67" s="22">
        <f t="shared" si="22"/>
        <v>396.55758182608514</v>
      </c>
      <c r="FI67" s="60">
        <f t="shared" si="23"/>
        <v>689.89091515941846</v>
      </c>
      <c r="FJ67" s="60">
        <f ca="1">AVERAGE(OFFSET($FI$3,0,0,'Données projet'!$E$16+1,1))-AVERAGE(OFFSET($H$3,0,0,'Données projet'!$E$16+1,1))</f>
        <v>274.38315511766132</v>
      </c>
      <c r="FK67" s="60">
        <f t="shared" si="48"/>
        <v>255.96663040027175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13.777777777777779</v>
      </c>
      <c r="FZ67" s="13">
        <f>IF('Données projet'!$A$244&gt;35,FZ66+FY67-GH66,IF(A67&lt;'Données projet'!$A$244,$FW$205^A67,IF(A67='Données projet'!$A$244,'Données projet'!$B$244,FZ66+FY67-GH66)))</f>
        <v>289.11111111111092</v>
      </c>
      <c r="GA67" s="18">
        <f>FZ67*VLOOKUP('Données projet'!$B$17,Paramètres!$A$1:$I$89,3,0)*VLOOKUP('Données projet'!$B$17,Paramètres!$A$1:$I$89,5,0)</f>
        <v>248.05733333333319</v>
      </c>
      <c r="GB67" s="14">
        <f t="shared" si="49"/>
        <v>60.169759343876592</v>
      </c>
      <c r="GC67" s="22">
        <f t="shared" si="25"/>
        <v>536.82885307947356</v>
      </c>
      <c r="GD67" s="60">
        <f t="shared" si="26"/>
        <v>830.16218641280693</v>
      </c>
      <c r="GE67" s="60">
        <f ca="1">AVERAGE(OFFSET($GD$3,0,0,'Données projet'!$E$17+1,1))-AVERAGE(OFFSET($H$3,0,0,'Données projet'!$E$17+1,1))</f>
        <v>445.81166342116865</v>
      </c>
      <c r="GF67" s="60">
        <f t="shared" si="50"/>
        <v>230.82970731138215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8.6666666666666661</v>
      </c>
      <c r="GU67" s="13">
        <f>IF('Données projet'!$A$270&gt;35,GU66+GT67-HC66,IF(A67&lt;'Données projet'!$A$270,$GR$205^A67,IF(A67='Données projet'!$A$270,'Données projet'!$B$270,GU66+GT67-HC66)))</f>
        <v>284.66666666666663</v>
      </c>
      <c r="GV67" s="18">
        <f>GU67*VLOOKUP('Données projet'!$B$18,Paramètres!$A$1:$I$89,3,0)*VLOOKUP('Données projet'!$B$18,Paramètres!$A$1:$I$89,5,0)</f>
        <v>222.04</v>
      </c>
      <c r="GW67" s="14">
        <f t="shared" si="51"/>
        <v>54.558031180803546</v>
      </c>
      <c r="GX67" s="22">
        <f t="shared" si="28"/>
        <v>481.74157097323285</v>
      </c>
      <c r="GY67" s="60">
        <f t="shared" si="29"/>
        <v>775.07490430656617</v>
      </c>
      <c r="GZ67" s="60">
        <f ca="1">AVERAGE(OFFSET($GY$3,0,0,'Données projet'!$E$18+1,1))-AVERAGE(OFFSET($H$3,0,0,'Données projet'!$E$18+1,1))</f>
        <v>289.19475369871481</v>
      </c>
      <c r="HA67" s="60">
        <f t="shared" si="52"/>
        <v>283.48738729114024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projet'!$B$18,Paramètres!$A$1:$I$89,3,0)*0.475*44/12</f>
        <v>0</v>
      </c>
      <c r="HH67" s="23">
        <f>EXP(-LN(2)/25)*HH66+(1-EXP(-LN(2)/25))/(LN(2)/25)*Calculateur!HC67*Calculateur!HE67*VLOOKUP('Données projet'!$B$18,Paramètres!$A$1:$I$89,3,0)*0.475*44/12</f>
        <v>0</v>
      </c>
      <c r="HI67" s="23">
        <f>EXP(-LN(2)/2)*HI66+(1-EXP(-LN(2)/2))/(LN(2)/2)*HC67*HF67*VLOOKUP('Données projet'!$B$18,Paramètres!$A$1:$I$89,3,0)*0.475*44/12</f>
        <v>0</v>
      </c>
      <c r="HJ67" s="24">
        <f t="shared" si="30"/>
        <v>0</v>
      </c>
    </row>
    <row r="68" spans="1:218" s="5" customFormat="1" x14ac:dyDescent="0.3">
      <c r="A68" s="11">
        <f t="shared" si="31"/>
        <v>65</v>
      </c>
      <c r="B68" s="75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8">
        <f t="shared" ref="H68:H131" si="56">(B68+E68+F68)*44/12+(C68+D68)*0.475*44/12</f>
        <v>256.66666666666669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250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249.99999999999991</v>
      </c>
      <c r="O68" s="14">
        <f>N68*VLOOKUP('Données projet'!$B$9,Paramètres!$A$1:$I$89,3,0)*VLOOKUP('Données projet'!$B$9,Paramètres!$A$1:$I$89,5,0)</f>
        <v>241.79999999999993</v>
      </c>
      <c r="P68" s="14">
        <f t="shared" si="33"/>
        <v>58.826640673484839</v>
      </c>
      <c r="Q68" s="22">
        <f t="shared" si="54"/>
        <v>523.59139917298592</v>
      </c>
      <c r="R68" s="60">
        <f t="shared" si="55"/>
        <v>816.92473250631929</v>
      </c>
      <c r="S68" s="60">
        <f ca="1">AVERAGE(OFFSET($R$3,0,0,'Données projet'!$E$9+1,1))-AVERAGE(OFFSET($H$3,0,0,'Données projet'!$E$9+1,1))</f>
        <v>456.86147223520601</v>
      </c>
      <c r="T68" s="60">
        <f t="shared" si="34"/>
        <v>244.45149244446094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42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1.1499999999999999</v>
      </c>
      <c r="AI68" s="14">
        <f>IF('Données projet'!$A$62&gt;35,AI67+AH68-AQ67,IF(A68&lt;'Données projet'!$A$62,$AF$205^A68,IF(A68='Données projet'!$A$62,'Données projet'!$B$62,AI67+AH68-AQ67)))</f>
        <v>161.75000000000017</v>
      </c>
      <c r="AJ68" s="14">
        <f>AI68*VLOOKUP('Données projet'!$B$10,Paramètres!$A$1:$I$89,3,0)*VLOOKUP('Données projet'!$B$10,Paramètres!$A$1:$I$89,5,0)</f>
        <v>105.97860000000011</v>
      </c>
      <c r="AK68" s="14">
        <f t="shared" si="35"/>
        <v>28.381467472560288</v>
      </c>
      <c r="AL68" s="22">
        <f t="shared" ref="AL68:AL131" si="58">(AJ68+AK68)*0.475*44/12</f>
        <v>234.01045084804267</v>
      </c>
      <c r="AM68" s="60">
        <f t="shared" ref="AM68:AM131" si="59">AL68+(AD68+AE68)*44/12</f>
        <v>527.34378418137601</v>
      </c>
      <c r="AN68" s="60">
        <f ca="1">AVERAGE(OFFSET($AM$3,0,0,'Données projet'!$E$10+1,1))-AVERAGE(OFFSET($H$3,0,0,'Données projet'!$E$10+1,1))</f>
        <v>170.79567854714986</v>
      </c>
      <c r="AO68" s="60">
        <f t="shared" si="36"/>
        <v>155.92788004111191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-1.1368683772161603E-13</v>
      </c>
      <c r="BE68" s="14">
        <f>BD68*VLOOKUP('Données projet'!$B$11,Paramètres!$A$1:$I$89,3,0)*VLOOKUP('Données projet'!$B$11,Paramètres!$A$1:$I$89,5,0)</f>
        <v>-9.2222762759774927E-14</v>
      </c>
      <c r="BF68" s="14" t="e">
        <f t="shared" si="37"/>
        <v>#NUM!</v>
      </c>
      <c r="BG68" s="22" t="e">
        <f t="shared" ref="BG68:BG131" si="61">(BE68+BF68)*0.475*44/12</f>
        <v>#NUM!</v>
      </c>
      <c r="BH68" s="60" t="e">
        <f t="shared" ref="BH68:BH131" si="62">BG68+(AY68+AZ68)*44/12</f>
        <v>#NUM!</v>
      </c>
      <c r="BI68" s="60">
        <f ca="1">AVERAGE(OFFSET($BH$3,0,0,'Données projet'!$E$11+1,1))-AVERAGE(OFFSET($H$3,0,0,'Données projet'!$E$11+1,1))</f>
        <v>256.19915261735281</v>
      </c>
      <c r="BJ68" s="60">
        <f t="shared" si="38"/>
        <v>297.47246687305056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200.64102564102564</v>
      </c>
      <c r="BW68" s="13">
        <f>VLOOKUP(A68,'Données projet'!$A$113:$I$133,9,0)</f>
        <v>4.4871794871794863</v>
      </c>
      <c r="BX68" s="13">
        <f t="array" ref="BX68">INDEX(BW:BW,MIN(IF(ISNUMBER(BW68:BW264),ROW(BW68:BW264),"")))</f>
        <v>4.4871794871794863</v>
      </c>
      <c r="BY68" s="13">
        <f>IF('Données projet'!$A$114&gt;35,BY67+BX68-CG67,IF(A68&lt;'Données projet'!$A$114,$BV$205^A68,IF(A68='Données projet'!$A$114,'Données projet'!$B$114,BY67+BX68-CG67)))</f>
        <v>200.64102564102552</v>
      </c>
      <c r="BZ68" s="14">
        <f>BY68*VLOOKUP('Données projet'!$B$12,Paramètres!$A$1:$I$89,3,0)*VLOOKUP('Données projet'!$B$12,Paramètres!$A$1:$I$89,5,0)</f>
        <v>190.92999999999989</v>
      </c>
      <c r="CA68" s="14">
        <f t="shared" si="39"/>
        <v>47.745504180483643</v>
      </c>
      <c r="CB68" s="22">
        <f t="shared" ref="CB68:CB131" si="64">(BZ68+CA68)*0.475*44/12</f>
        <v>415.69316978100875</v>
      </c>
      <c r="CC68" s="60">
        <f t="shared" ref="CC68:CC131" si="65">CB68+(BT68+BU68)*44/12</f>
        <v>709.02650311434206</v>
      </c>
      <c r="CD68" s="60">
        <f ca="1">AVERAGE(OFFSET($CC$3,0,0,'Données projet'!$E$12+1,1))-AVERAGE(OFFSET($H$3,0,0,'Données projet'!$E$12+1,1))</f>
        <v>353.53401919391234</v>
      </c>
      <c r="CE68" s="60">
        <f t="shared" si="40"/>
        <v>244.7141066773861</v>
      </c>
      <c r="CF68" s="16">
        <f>IF(ISNA(VLOOKUP(A68,'Données projet'!$A$113:$I$133,3,0)),0,VLOOKUP(A68,'Données projet'!$A$113:$I$133,3,0))</f>
        <v>5</v>
      </c>
      <c r="CG68" s="16">
        <f>IF(ISNA(VLOOKUP(A68,'Données projet'!$A$113:$I$133,4,0)),0,VLOOKUP(A68,'Données projet'!$A$113:$I$133,4,0))</f>
        <v>28.205128205128204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250</v>
      </c>
      <c r="CR68" s="13">
        <f>VLOOKUP(A68,'Données projet'!$A$139:$I$159,9,0)</f>
        <v>7.2</v>
      </c>
      <c r="CS68" s="13">
        <f t="array" ref="CS68">INDEX(CR:CR,MIN(IF(ISNUMBER(CR68:CR264),ROW(CR68:CR264),"")))</f>
        <v>7.2</v>
      </c>
      <c r="CT68" s="13">
        <f>IF('Données projet'!$A$140&gt;35,CT67+CS68-DB67,IF(A68&lt;'Données projet'!$A$140,$CQ$205^A68,IF(A68='Données projet'!$A$140,'Données projet'!$B$140,CT67+CS68-DB67)))</f>
        <v>249.99999999999991</v>
      </c>
      <c r="CU68" s="18">
        <f>CT68*VLOOKUP('Données projet'!$B$13,Paramètres!$A$1:$I$89,3,0)*VLOOKUP('Données projet'!$B$13,Paramètres!$A$1:$I$89,5,0)</f>
        <v>210.59999999999997</v>
      </c>
      <c r="CV68" s="14">
        <f t="shared" si="41"/>
        <v>52.066679014659961</v>
      </c>
      <c r="CW68" s="22">
        <f t="shared" ref="CW68:CW131" si="67">(CU68+CV68)*0.475*44/12</f>
        <v>457.47779928386598</v>
      </c>
      <c r="CX68" s="60">
        <f t="shared" ref="CX68:CX131" si="68">CW68+(CO68+CP68)*44/12</f>
        <v>750.81113261719929</v>
      </c>
      <c r="CY68" s="60">
        <f ca="1">AVERAGE(OFFSET($CX$3,0,0,'Données projet'!$E$13+1,1))-AVERAGE(OFFSET($H$3,0,0,'Données projet'!$E$13+1,1))</f>
        <v>403.33327536410098</v>
      </c>
      <c r="CZ68" s="60">
        <f t="shared" si="42"/>
        <v>218.26721063098552</v>
      </c>
      <c r="DA68" s="16">
        <f>IF(ISNA(VLOOKUP(A68,'Données projet'!$A$139:$I$159,3,0)),0,VLOOKUP(A68,'Données projet'!$A$139:$I$159,3,0))</f>
        <v>5</v>
      </c>
      <c r="DB68" s="16">
        <f>IF(ISNA(VLOOKUP(A68,'Données projet'!$A$139:$I$159,4,0)),0,VLOOKUP(A68,'Données projet'!$A$139:$I$159,4,0))</f>
        <v>42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266.60000000000002</v>
      </c>
      <c r="DM68" s="13">
        <f>VLOOKUP(A68,'Données projet'!$A$165:$I$185,9,0)</f>
        <v>4.3400000000000034</v>
      </c>
      <c r="DN68" s="13">
        <f t="array" ref="DN68">INDEX(DM:DM,MIN(IF(ISNUMBER(DM68:DM264),ROW(DM68:DM264),"")))</f>
        <v>4.3400000000000034</v>
      </c>
      <c r="DO68" s="13">
        <f>IF('Données projet'!$A$166&gt;35,DO67+DN68-DW67,IF(A68&lt;'Données projet'!$A$166,$DL$205^A68,IF(A68='Données projet'!$A$166,'Données projet'!$B$166,DO67+DN68-DW67)))</f>
        <v>266.60000000000014</v>
      </c>
      <c r="DP68" s="18">
        <f>DO68*VLOOKUP('Données projet'!$B$14,Paramètres!$A$1:$I$89,3,0)*VLOOKUP('Données projet'!$B$14,Paramètres!$A$1:$I$89,5,0)</f>
        <v>212.1069600000001</v>
      </c>
      <c r="DQ68" s="14">
        <f t="shared" si="43"/>
        <v>52.395741612408287</v>
      </c>
      <c r="DR68" s="22">
        <f t="shared" ref="DR68:DR131" si="70">(DP68+DQ68)*0.475*44/12</f>
        <v>460.67553864161124</v>
      </c>
      <c r="DS68" s="60">
        <f t="shared" ref="DS68:DS131" si="71">DR68+(DJ68+DK68)*44/12</f>
        <v>754.00887197494455</v>
      </c>
      <c r="DT68" s="60">
        <f ca="1">AVERAGE(OFFSET($DS$3,0,0,'Données projet'!$E$14+1,1))-AVERAGE(OFFSET($H$3,0,0,'Données projet'!$E$14+1,1))</f>
        <v>317.13087551964747</v>
      </c>
      <c r="DU68" s="60">
        <f t="shared" si="44"/>
        <v>293.43300041793185</v>
      </c>
      <c r="DV68" s="16">
        <f>IF(ISNA(VLOOKUP(A68,'Données projet'!$A$165:$I$185,3,0)),0,VLOOKUP(A68,'Données projet'!$A$165:$I$185,3,0))</f>
        <v>5</v>
      </c>
      <c r="DW68" s="16">
        <f>IF(ISNA(VLOOKUP(A68,'Données projet'!$A$165:$I$185,4,0)),0,VLOOKUP(A68,'Données projet'!$A$165:$I$185,4,0))</f>
        <v>22.700000000000003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211.70000000000002</v>
      </c>
      <c r="EH68" s="13">
        <f>VLOOKUP(A68,'Données projet'!$A$191:$I$211,9,0)</f>
        <v>3.4400000000000035</v>
      </c>
      <c r="EI68" s="13">
        <f t="array" ref="EI68">INDEX(EH:EH,MIN(IF(ISNUMBER(EH68:EH264),ROW(EH68:EH264),"")))</f>
        <v>3.4400000000000035</v>
      </c>
      <c r="EJ68" s="13">
        <f>IF('Données projet'!$A$192&gt;35,EJ67+EI68-ER67,IF(A68&lt;'Données projet'!$A$192,$EG$205^A68,IF(A68='Données projet'!$A$192,'Données projet'!$B$192,EJ67+EI68-ER67)))</f>
        <v>211.70000000000016</v>
      </c>
      <c r="EK68" s="18">
        <f>EJ68*VLOOKUP('Données projet'!$B$15,Paramètres!$A$1:$I$89,3,0)*VLOOKUP('Données projet'!$B$15,Paramètres!$A$1:$I$89,5,0)</f>
        <v>168.42852000000013</v>
      </c>
      <c r="EL68" s="14">
        <f t="shared" si="45"/>
        <v>42.737874332673222</v>
      </c>
      <c r="EM68" s="22">
        <f t="shared" ref="EM68:EM131" si="73">(EK68+EL68)*0.475*44/12</f>
        <v>367.78147012940605</v>
      </c>
      <c r="EN68" s="60">
        <f t="shared" ref="EN68:EN131" si="74">EM68+(EE68+EF68)*44/12</f>
        <v>661.11480346273936</v>
      </c>
      <c r="EO68" s="60">
        <f ca="1">AVERAGE(OFFSET($EN$3,0,0,'Données projet'!$E$15+1,1))-AVERAGE(OFFSET($H$3,0,0,'Données projet'!$E$15+1,1))</f>
        <v>253.03289960511904</v>
      </c>
      <c r="EP68" s="60">
        <f t="shared" si="46"/>
        <v>236.85088713056018</v>
      </c>
      <c r="EQ68" s="16">
        <f>IF(ISNA(VLOOKUP(A68,'Données projet'!$A$191:$I$211,3,0)),0,VLOOKUP(A68,'Données projet'!$A$191:$I$211,3,0))</f>
        <v>5</v>
      </c>
      <c r="ER68" s="16">
        <f>IF(ISNA(VLOOKUP(A68,'Données projet'!$A$191:$I$211,4,0)),0,VLOOKUP(A68,'Données projet'!$A$191:$I$211,4,0))</f>
        <v>17.700000000000003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211.70000000000002</v>
      </c>
      <c r="FC68" s="13">
        <f>VLOOKUP(A68,'Données projet'!$A$217:$I$237,9,0)</f>
        <v>3.4400000000000035</v>
      </c>
      <c r="FD68" s="13">
        <f t="array" ref="FD68">INDEX(FC:FC,MIN(IF(ISNUMBER(FC68:FC264),ROW(FC68:FC264),"")))</f>
        <v>3.4400000000000035</v>
      </c>
      <c r="FE68" s="13">
        <f>IF('Données projet'!$A$218&gt;35,FE67+FD68-FM67,IF(A68&lt;'Données projet'!$A$218,$FB$205^A68,IF(A68='Données projet'!$A$218,'Données projet'!$B$218,FE67+FD68-FM67)))</f>
        <v>211.70000000000016</v>
      </c>
      <c r="FF68" s="18">
        <f>FE68*VLOOKUP('Données projet'!$B$16,Paramètres!$A$1:$I$89,3,0)*VLOOKUP('Données projet'!$B$16,Paramètres!$A$1:$I$89,5,0)</f>
        <v>184.94112000000018</v>
      </c>
      <c r="FG68" s="14">
        <f t="shared" si="47"/>
        <v>46.419755730249477</v>
      </c>
      <c r="FH68" s="22">
        <f t="shared" ref="FH68:FH131" si="76">(FF68+FG68)*0.475*44/12</f>
        <v>402.95352523018482</v>
      </c>
      <c r="FI68" s="60">
        <f t="shared" ref="FI68:FI131" si="77">FH68+(EZ68+FA68)*44/12</f>
        <v>696.28685856351808</v>
      </c>
      <c r="FJ68" s="60">
        <f ca="1">AVERAGE(OFFSET($FI$3,0,0,'Données projet'!$E$16+1,1))-AVERAGE(OFFSET($H$3,0,0,'Données projet'!$E$16+1,1))</f>
        <v>274.38315511766132</v>
      </c>
      <c r="FK68" s="60">
        <f t="shared" si="48"/>
        <v>255.96663040027175</v>
      </c>
      <c r="FL68" s="16">
        <f>IF(ISNA(VLOOKUP(A68,'Données projet'!$A$217:$I$237,3,0)),0,VLOOKUP(A68,'Données projet'!$A$217:$I$237,3,0))</f>
        <v>5</v>
      </c>
      <c r="FM68" s="16">
        <f>IF(ISNA(VLOOKUP(A68,'Données projet'!$A$217:$I$237,4,0)),0,VLOOKUP(A68,'Données projet'!$A$217:$I$237,4,0))</f>
        <v>17.700000000000003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13.777777777777779</v>
      </c>
      <c r="FZ68" s="13">
        <f>IF('Données projet'!$A$244&gt;35,FZ67+FY68-GH67,IF(A68&lt;'Données projet'!$A$244,$FW$205^A68,IF(A68='Données projet'!$A$244,'Données projet'!$B$244,FZ67+FY68-GH67)))</f>
        <v>302.88888888888869</v>
      </c>
      <c r="GA68" s="18">
        <f>FZ68*VLOOKUP('Données projet'!$B$17,Paramètres!$A$1:$I$89,3,0)*VLOOKUP('Données projet'!$B$17,Paramètres!$A$1:$I$89,5,0)</f>
        <v>259.8786666666665</v>
      </c>
      <c r="GB68" s="14">
        <f t="shared" si="49"/>
        <v>62.69651389011603</v>
      </c>
      <c r="GC68" s="22">
        <f t="shared" ref="GC68:GC131" si="79">(GA68+GB68)*0.475*44/12</f>
        <v>561.81843946972958</v>
      </c>
      <c r="GD68" s="60">
        <f t="shared" ref="GD68:GD131" si="80">GC68+(FU68+FV68)*44/12</f>
        <v>855.15177280306284</v>
      </c>
      <c r="GE68" s="60">
        <f ca="1">AVERAGE(OFFSET($GD$3,0,0,'Données projet'!$E$17+1,1))-AVERAGE(OFFSET($H$3,0,0,'Données projet'!$E$17+1,1))</f>
        <v>445.81166342116865</v>
      </c>
      <c r="GF68" s="60">
        <f t="shared" si="50"/>
        <v>230.82970731138215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8.6666666666666661</v>
      </c>
      <c r="GU68" s="13">
        <f>IF('Données projet'!$A$270&gt;35,GU67+GT68-HC67,IF(A68&lt;'Données projet'!$A$270,$GR$205^A68,IF(A68='Données projet'!$A$270,'Données projet'!$B$270,GU67+GT68-HC67)))</f>
        <v>293.33333333333331</v>
      </c>
      <c r="GV68" s="18">
        <f>GU68*VLOOKUP('Données projet'!$B$18,Paramètres!$A$1:$I$89,3,0)*VLOOKUP('Données projet'!$B$18,Paramètres!$A$1:$I$89,5,0)</f>
        <v>228.79999999999998</v>
      </c>
      <c r="GW68" s="14">
        <f t="shared" si="51"/>
        <v>56.023134533701196</v>
      </c>
      <c r="GX68" s="22">
        <f t="shared" ref="GX68:GX131" si="82">(GV68+GW68)*0.475*44/12</f>
        <v>496.06695931286293</v>
      </c>
      <c r="GY68" s="60">
        <f t="shared" ref="GY68:GY131" si="83">GX68+(GP68+GQ68)*44/12</f>
        <v>789.40029264619625</v>
      </c>
      <c r="GZ68" s="60">
        <f ca="1">AVERAGE(OFFSET($GY$3,0,0,'Données projet'!$E$18+1,1))-AVERAGE(OFFSET($H$3,0,0,'Données projet'!$E$18+1,1))</f>
        <v>289.19475369871481</v>
      </c>
      <c r="HA68" s="60">
        <f t="shared" si="52"/>
        <v>283.48738729114024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projet'!$B$18,Paramètres!$A$1:$I$89,3,0)*0.475*44/12</f>
        <v>0</v>
      </c>
      <c r="HH68" s="23">
        <f>EXP(-LN(2)/25)*HH67+(1-EXP(-LN(2)/25))/(LN(2)/25)*Calculateur!HC68*Calculateur!HE68*VLOOKUP('Données projet'!$B$18,Paramètres!$A$1:$I$89,3,0)*0.475*44/12</f>
        <v>0</v>
      </c>
      <c r="HI68" s="23">
        <f>EXP(-LN(2)/2)*HI67+(1-EXP(-LN(2)/2))/(LN(2)/2)*HC68*HF68*VLOOKUP('Données projet'!$B$18,Paramètres!$A$1:$I$89,3,0)*0.475*44/12</f>
        <v>0</v>
      </c>
      <c r="HJ68" s="24">
        <f t="shared" ref="HJ68:HJ131" si="84">SUM(HG68:HI68)</f>
        <v>0</v>
      </c>
    </row>
    <row r="69" spans="1:218" s="5" customFormat="1" x14ac:dyDescent="0.3">
      <c r="A69" s="11">
        <f t="shared" ref="A69:A132" si="85">A68+1</f>
        <v>66</v>
      </c>
      <c r="B69" s="75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8">
        <f t="shared" si="56"/>
        <v>256.66666666666669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214.7999999999999</v>
      </c>
      <c r="O69" s="14">
        <f>N69*VLOOKUP('Données projet'!$B$9,Paramètres!$A$1:$I$89,3,0)*VLOOKUP('Données projet'!$B$9,Paramètres!$A$1:$I$89,5,0)</f>
        <v>207.75455999999991</v>
      </c>
      <c r="P69" s="14">
        <f t="shared" ref="P69:P132" si="87">EXP(-1.0587+0.8836*LN(O69)+0.284)</f>
        <v>51.444593984782131</v>
      </c>
      <c r="Q69" s="22">
        <f t="shared" si="54"/>
        <v>451.43852652349534</v>
      </c>
      <c r="R69" s="60">
        <f t="shared" si="55"/>
        <v>744.77185985682866</v>
      </c>
      <c r="S69" s="60">
        <f ca="1">AVERAGE(OFFSET($R$3,0,0,'Données projet'!$E$9+1,1))-AVERAGE(OFFSET($H$3,0,0,'Données projet'!$E$9+1,1))</f>
        <v>456.86147223520601</v>
      </c>
      <c r="T69" s="60">
        <f t="shared" ref="T69:T132" si="88">$T$3</f>
        <v>244.45149244446094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1.1499999999999999</v>
      </c>
      <c r="AI69" s="14">
        <f>IF('Données projet'!$A$62&gt;35,AI68+AH69-AQ68,IF(A69&lt;'Données projet'!$A$62,$AF$205^A69,IF(A69='Données projet'!$A$62,'Données projet'!$B$62,AI68+AH69-AQ68)))</f>
        <v>162.90000000000018</v>
      </c>
      <c r="AJ69" s="14">
        <f>AI69*VLOOKUP('Données projet'!$B$10,Paramètres!$A$1:$I$89,3,0)*VLOOKUP('Données projet'!$B$10,Paramètres!$A$1:$I$89,5,0)</f>
        <v>106.73208000000012</v>
      </c>
      <c r="AK69" s="14">
        <f t="shared" ref="AK69:AK132" si="89">EXP(-1.0587+0.8836*LN(AJ69)+0.284)</f>
        <v>28.55969091857137</v>
      </c>
      <c r="AL69" s="22">
        <f t="shared" si="58"/>
        <v>235.6331676831787</v>
      </c>
      <c r="AM69" s="60">
        <f t="shared" si="59"/>
        <v>528.96650101651198</v>
      </c>
      <c r="AN69" s="60">
        <f ca="1">AVERAGE(OFFSET($AM$3,0,0,'Données projet'!$E$10+1,1))-AVERAGE(OFFSET($H$3,0,0,'Données projet'!$E$10+1,1))</f>
        <v>170.79567854714986</v>
      </c>
      <c r="AO69" s="60">
        <f t="shared" ref="AO69:AO132" si="90">$AO$3</f>
        <v>155.92788004111191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-1.1368683772161603E-13</v>
      </c>
      <c r="BE69" s="14">
        <f>BD69*VLOOKUP('Données projet'!$B$11,Paramètres!$A$1:$I$89,3,0)*VLOOKUP('Données projet'!$B$11,Paramètres!$A$1:$I$89,5,0)</f>
        <v>-9.2222762759774927E-14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0" t="e">
        <f t="shared" si="62"/>
        <v>#NUM!</v>
      </c>
      <c r="BI69" s="60">
        <f ca="1">AVERAGE(OFFSET($BH$3,0,0,'Données projet'!$E$11+1,1))-AVERAGE(OFFSET($H$3,0,0,'Données projet'!$E$11+1,1))</f>
        <v>256.19915261735281</v>
      </c>
      <c r="BJ69" s="60">
        <f t="shared" ref="BJ69:BJ132" si="92">$BJ$3</f>
        <v>297.47246687305056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4.3589743589743595</v>
      </c>
      <c r="BY69" s="13">
        <f>IF('Données projet'!$A$114&gt;35,BY68+BX69-CG68,IF(A69&lt;'Données projet'!$A$114,$BV$205^A69,IF(A69='Données projet'!$A$114,'Données projet'!$B$114,BY68+BX69-CG68)))</f>
        <v>176.79487179487168</v>
      </c>
      <c r="BZ69" s="14">
        <f>BY69*VLOOKUP('Données projet'!$B$12,Paramètres!$A$1:$I$89,3,0)*VLOOKUP('Données projet'!$B$12,Paramètres!$A$1:$I$89,5,0)</f>
        <v>168.23799999999989</v>
      </c>
      <c r="CA69" s="14">
        <f t="shared" ref="CA69:CA132" si="93">EXP(-1.0587+0.8836*LN(BZ69)+0.284)</f>
        <v>42.695155225480995</v>
      </c>
      <c r="CB69" s="22">
        <f t="shared" si="64"/>
        <v>367.37524535104586</v>
      </c>
      <c r="CC69" s="60">
        <f t="shared" si="65"/>
        <v>660.70857868437918</v>
      </c>
      <c r="CD69" s="60">
        <f ca="1">AVERAGE(OFFSET($CC$3,0,0,'Données projet'!$E$12+1,1))-AVERAGE(OFFSET($H$3,0,0,'Données projet'!$E$12+1,1))</f>
        <v>353.53401919391234</v>
      </c>
      <c r="CE69" s="60">
        <f t="shared" ref="CE69:CE132" si="94">$CE$3</f>
        <v>244.7141066773861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6.8</v>
      </c>
      <c r="CT69" s="13">
        <f>IF('Données projet'!$A$140&gt;35,CT68+CS69-DB68,IF(A69&lt;'Données projet'!$A$140,$CQ$205^A69,IF(A69='Données projet'!$A$140,'Données projet'!$B$140,CT68+CS69-DB68)))</f>
        <v>214.7999999999999</v>
      </c>
      <c r="CU69" s="18">
        <f>CT69*VLOOKUP('Données projet'!$B$13,Paramètres!$A$1:$I$89,3,0)*VLOOKUP('Données projet'!$B$13,Paramètres!$A$1:$I$89,5,0)</f>
        <v>180.94751999999991</v>
      </c>
      <c r="CV69" s="14">
        <f t="shared" ref="CV69:CV132" si="95">EXP(-1.0587+0.8836*LN(CU69)+0.284)</f>
        <v>45.53292745224649</v>
      </c>
      <c r="CW69" s="22">
        <f t="shared" si="67"/>
        <v>394.45344597932916</v>
      </c>
      <c r="CX69" s="60">
        <f t="shared" si="68"/>
        <v>687.78677931266247</v>
      </c>
      <c r="CY69" s="60">
        <f ca="1">AVERAGE(OFFSET($CX$3,0,0,'Données projet'!$E$13+1,1))-AVERAGE(OFFSET($H$3,0,0,'Données projet'!$E$13+1,1))</f>
        <v>403.33327536410098</v>
      </c>
      <c r="CZ69" s="60">
        <f t="shared" ref="CZ69:CZ132" si="96">$CZ$3</f>
        <v>218.26721063098552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3.7599999999999909</v>
      </c>
      <c r="DO69" s="13">
        <f>IF('Données projet'!$A$166&gt;35,DO68+DN69-DW68,IF(A69&lt;'Données projet'!$A$166,$DL$205^A69,IF(A69='Données projet'!$A$166,'Données projet'!$B$166,DO68+DN69-DW68)))</f>
        <v>247.66000000000014</v>
      </c>
      <c r="DP69" s="18">
        <f>DO69*VLOOKUP('Données projet'!$B$14,Paramètres!$A$1:$I$89,3,0)*VLOOKUP('Données projet'!$B$14,Paramètres!$A$1:$I$89,5,0)</f>
        <v>197.03829600000012</v>
      </c>
      <c r="DQ69" s="14">
        <f t="shared" ref="DQ69:DQ132" si="97">EXP(-1.0587+0.8836*LN(DP69)+0.284)</f>
        <v>49.092710736344145</v>
      </c>
      <c r="DR69" s="22">
        <f t="shared" si="70"/>
        <v>428.67817006579958</v>
      </c>
      <c r="DS69" s="60">
        <f t="shared" si="71"/>
        <v>722.01150339913283</v>
      </c>
      <c r="DT69" s="60">
        <f ca="1">AVERAGE(OFFSET($DS$3,0,0,'Données projet'!$E$14+1,1))-AVERAGE(OFFSET($H$3,0,0,'Données projet'!$E$14+1,1))</f>
        <v>317.13087551964747</v>
      </c>
      <c r="DU69" s="60">
        <f t="shared" ref="DU69:DU132" si="98">$DU$3</f>
        <v>293.43300041793185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2.919999999999999</v>
      </c>
      <c r="EJ69" s="13">
        <f>IF('Données projet'!$A$192&gt;35,EJ68+EI69-ER68,IF(A69&lt;'Données projet'!$A$192,$EG$205^A69,IF(A69='Données projet'!$A$192,'Données projet'!$B$192,EJ68+EI69-ER68)))</f>
        <v>196.92000000000013</v>
      </c>
      <c r="EK69" s="18">
        <f>EJ69*VLOOKUP('Données projet'!$B$15,Paramètres!$A$1:$I$89,3,0)*VLOOKUP('Données projet'!$B$15,Paramètres!$A$1:$I$89,5,0)</f>
        <v>156.6695520000001</v>
      </c>
      <c r="EL69" s="14">
        <f t="shared" ref="EL69:EL132" si="99">EXP(-1.0587+0.8836*LN(EK69)+0.284)</f>
        <v>40.090406404377902</v>
      </c>
      <c r="EM69" s="22">
        <f t="shared" si="73"/>
        <v>342.69026088762502</v>
      </c>
      <c r="EN69" s="60">
        <f t="shared" si="74"/>
        <v>636.02359422095833</v>
      </c>
      <c r="EO69" s="60">
        <f ca="1">AVERAGE(OFFSET($EN$3,0,0,'Données projet'!$E$15+1,1))-AVERAGE(OFFSET($H$3,0,0,'Données projet'!$E$15+1,1))</f>
        <v>253.03289960511904</v>
      </c>
      <c r="EP69" s="60">
        <f t="shared" ref="EP69:EP132" si="100">$EP$3</f>
        <v>236.85088713056018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2.919999999999999</v>
      </c>
      <c r="FE69" s="13">
        <f>IF('Données projet'!$A$218&gt;35,FE68+FD69-FM68,IF(A69&lt;'Données projet'!$A$218,$FB$205^A69,IF(A69='Données projet'!$A$218,'Données projet'!$B$218,FE68+FD69-FM68)))</f>
        <v>196.92000000000013</v>
      </c>
      <c r="FF69" s="18">
        <f>FE69*VLOOKUP('Données projet'!$B$16,Paramètres!$A$1:$I$89,3,0)*VLOOKUP('Données projet'!$B$16,Paramètres!$A$1:$I$89,5,0)</f>
        <v>172.02931200000015</v>
      </c>
      <c r="FG69" s="14">
        <f t="shared" ref="FG69:FG132" si="101">EXP(-1.0587+0.8836*LN(FF69)+0.284)</f>
        <v>43.544207602176456</v>
      </c>
      <c r="FH69" s="22">
        <f t="shared" si="76"/>
        <v>375.45721330712422</v>
      </c>
      <c r="FI69" s="60">
        <f t="shared" si="77"/>
        <v>668.79054664045748</v>
      </c>
      <c r="FJ69" s="60">
        <f ca="1">AVERAGE(OFFSET($FI$3,0,0,'Données projet'!$E$16+1,1))-AVERAGE(OFFSET($H$3,0,0,'Données projet'!$E$16+1,1))</f>
        <v>274.38315511766132</v>
      </c>
      <c r="FK69" s="60">
        <f t="shared" ref="FK69:FK132" si="102">$FK$3</f>
        <v>255.96663040027175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13.777777777777779</v>
      </c>
      <c r="FZ69" s="13">
        <f>IF('Données projet'!$A$244&gt;35,FZ68+FY69-GH68,IF(A69&lt;'Données projet'!$A$244,$FW$205^A69,IF(A69='Données projet'!$A$244,'Données projet'!$B$244,FZ68+FY69-GH68)))</f>
        <v>316.66666666666646</v>
      </c>
      <c r="GA69" s="18">
        <f>FZ69*VLOOKUP('Données projet'!$B$17,Paramètres!$A$1:$I$89,3,0)*VLOOKUP('Données projet'!$B$17,Paramètres!$A$1:$I$89,5,0)</f>
        <v>271.69999999999987</v>
      </c>
      <c r="GB69" s="14">
        <f t="shared" ref="GB69:GB132" si="103">EXP(-1.0587+0.8836*LN(GA69)+0.284)</f>
        <v>65.209920294809322</v>
      </c>
      <c r="GC69" s="22">
        <f t="shared" si="79"/>
        <v>586.78477784679262</v>
      </c>
      <c r="GD69" s="60">
        <f t="shared" si="80"/>
        <v>880.11811118012588</v>
      </c>
      <c r="GE69" s="60">
        <f ca="1">AVERAGE(OFFSET($GD$3,0,0,'Données projet'!$E$17+1,1))-AVERAGE(OFFSET($H$3,0,0,'Données projet'!$E$17+1,1))</f>
        <v>445.81166342116865</v>
      </c>
      <c r="GF69" s="60">
        <f t="shared" ref="GF69:GF132" si="104">$GF$3</f>
        <v>230.82970731138215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8.6666666666666661</v>
      </c>
      <c r="GU69" s="13">
        <f>IF('Données projet'!$A$270&gt;35,GU68+GT69-HC68,IF(A69&lt;'Données projet'!$A$270,$GR$205^A69,IF(A69='Données projet'!$A$270,'Données projet'!$B$270,GU68+GT69-HC68)))</f>
        <v>302</v>
      </c>
      <c r="GV69" s="18">
        <f>GU69*VLOOKUP('Données projet'!$B$18,Paramètres!$A$1:$I$89,3,0)*VLOOKUP('Données projet'!$B$18,Paramètres!$A$1:$I$89,5,0)</f>
        <v>235.56</v>
      </c>
      <c r="GW69" s="14">
        <f t="shared" ref="GW69:GW132" si="105">EXP(-1.0587+0.8836*LN(GV69)+0.284)</f>
        <v>57.483207143847721</v>
      </c>
      <c r="GX69" s="22">
        <f t="shared" si="82"/>
        <v>510.38358577553481</v>
      </c>
      <c r="GY69" s="60">
        <f t="shared" si="83"/>
        <v>803.71691910886807</v>
      </c>
      <c r="GZ69" s="60">
        <f ca="1">AVERAGE(OFFSET($GY$3,0,0,'Données projet'!$E$18+1,1))-AVERAGE(OFFSET($H$3,0,0,'Données projet'!$E$18+1,1))</f>
        <v>289.19475369871481</v>
      </c>
      <c r="HA69" s="60">
        <f t="shared" ref="HA69:HA132" si="106">$HA$3</f>
        <v>283.48738729114024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projet'!$B$18,Paramètres!$A$1:$I$89,3,0)*0.475*44/12</f>
        <v>0</v>
      </c>
      <c r="HH69" s="23">
        <f>EXP(-LN(2)/25)*HH68+(1-EXP(-LN(2)/25))/(LN(2)/25)*Calculateur!HC69*Calculateur!HE69*VLOOKUP('Données projet'!$B$18,Paramètres!$A$1:$I$89,3,0)*0.475*44/12</f>
        <v>0</v>
      </c>
      <c r="HI69" s="23">
        <f>EXP(-LN(2)/2)*HI68+(1-EXP(-LN(2)/2))/(LN(2)/2)*HC69*HF69*VLOOKUP('Données projet'!$B$18,Paramètres!$A$1:$I$89,3,0)*0.475*44/12</f>
        <v>0</v>
      </c>
      <c r="HJ69" s="24">
        <f t="shared" si="84"/>
        <v>0</v>
      </c>
    </row>
    <row r="70" spans="1:218" s="5" customFormat="1" x14ac:dyDescent="0.3">
      <c r="A70" s="11">
        <f t="shared" si="85"/>
        <v>67</v>
      </c>
      <c r="B70" s="75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8">
        <f t="shared" si="56"/>
        <v>256.66666666666669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221.59999999999991</v>
      </c>
      <c r="O70" s="14">
        <f>N70*VLOOKUP('Données projet'!$B$9,Paramètres!$A$1:$I$89,3,0)*VLOOKUP('Données projet'!$B$9,Paramètres!$A$1:$I$89,5,0)</f>
        <v>214.3315199999999</v>
      </c>
      <c r="P70" s="14">
        <f t="shared" si="87"/>
        <v>52.881004144461244</v>
      </c>
      <c r="Q70" s="22">
        <f t="shared" si="54"/>
        <v>465.39514621826976</v>
      </c>
      <c r="R70" s="60">
        <f t="shared" si="55"/>
        <v>758.72847955160307</v>
      </c>
      <c r="S70" s="60">
        <f ca="1">AVERAGE(OFFSET($R$3,0,0,'Données projet'!$E$9+1,1))-AVERAGE(OFFSET($H$3,0,0,'Données projet'!$E$9+1,1))</f>
        <v>456.86147223520601</v>
      </c>
      <c r="T70" s="60">
        <f t="shared" si="88"/>
        <v>244.45149244446094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1.1499999999999999</v>
      </c>
      <c r="AI70" s="14">
        <f>IF('Données projet'!$A$62&gt;35,AI69+AH70-AQ69,IF(A70&lt;'Données projet'!$A$62,$AF$205^A70,IF(A70='Données projet'!$A$62,'Données projet'!$B$62,AI69+AH70-AQ69)))</f>
        <v>164.05000000000018</v>
      </c>
      <c r="AJ70" s="14">
        <f>AI70*VLOOKUP('Données projet'!$B$10,Paramètres!$A$1:$I$89,3,0)*VLOOKUP('Données projet'!$B$10,Paramètres!$A$1:$I$89,5,0)</f>
        <v>107.48556000000011</v>
      </c>
      <c r="AK70" s="14">
        <f t="shared" si="89"/>
        <v>28.73776797169921</v>
      </c>
      <c r="AL70" s="22">
        <f t="shared" si="58"/>
        <v>237.25562955070964</v>
      </c>
      <c r="AM70" s="60">
        <f t="shared" si="59"/>
        <v>530.58896288404299</v>
      </c>
      <c r="AN70" s="60">
        <f ca="1">AVERAGE(OFFSET($AM$3,0,0,'Données projet'!$E$10+1,1))-AVERAGE(OFFSET($H$3,0,0,'Données projet'!$E$10+1,1))</f>
        <v>170.79567854714986</v>
      </c>
      <c r="AO70" s="60">
        <f t="shared" si="90"/>
        <v>155.92788004111191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-1.1368683772161603E-13</v>
      </c>
      <c r="BE70" s="14">
        <f>BD70*VLOOKUP('Données projet'!$B$11,Paramètres!$A$1:$I$89,3,0)*VLOOKUP('Données projet'!$B$11,Paramètres!$A$1:$I$89,5,0)</f>
        <v>-9.2222762759774927E-14</v>
      </c>
      <c r="BF70" s="14" t="e">
        <f t="shared" si="91"/>
        <v>#NUM!</v>
      </c>
      <c r="BG70" s="22" t="e">
        <f t="shared" si="61"/>
        <v>#NUM!</v>
      </c>
      <c r="BH70" s="60" t="e">
        <f t="shared" si="62"/>
        <v>#NUM!</v>
      </c>
      <c r="BI70" s="60">
        <f ca="1">AVERAGE(OFFSET($BH$3,0,0,'Données projet'!$E$11+1,1))-AVERAGE(OFFSET($H$3,0,0,'Données projet'!$E$11+1,1))</f>
        <v>256.19915261735281</v>
      </c>
      <c r="BJ70" s="60">
        <f t="shared" si="92"/>
        <v>297.47246687305056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4.3589743589743595</v>
      </c>
      <c r="BY70" s="13">
        <f>IF('Données projet'!$A$114&gt;35,BY69+BX70-CG69,IF(A70&lt;'Données projet'!$A$114,$BV$205^A70,IF(A70='Données projet'!$A$114,'Données projet'!$B$114,BY69+BX70-CG69)))</f>
        <v>181.15384615384605</v>
      </c>
      <c r="BZ70" s="14">
        <f>BY70*VLOOKUP('Données projet'!$B$12,Paramètres!$A$1:$I$89,3,0)*VLOOKUP('Données projet'!$B$12,Paramètres!$A$1:$I$89,5,0)</f>
        <v>172.38599999999991</v>
      </c>
      <c r="CA70" s="14">
        <f t="shared" si="93"/>
        <v>43.623973962324399</v>
      </c>
      <c r="CB70" s="22">
        <f t="shared" si="64"/>
        <v>376.21737131771482</v>
      </c>
      <c r="CC70" s="60">
        <f t="shared" si="65"/>
        <v>669.55070465104814</v>
      </c>
      <c r="CD70" s="60">
        <f ca="1">AVERAGE(OFFSET($CC$3,0,0,'Données projet'!$E$12+1,1))-AVERAGE(OFFSET($H$3,0,0,'Données projet'!$E$12+1,1))</f>
        <v>353.53401919391234</v>
      </c>
      <c r="CE70" s="60">
        <f t="shared" si="94"/>
        <v>244.7141066773861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6.8</v>
      </c>
      <c r="CT70" s="13">
        <f>IF('Données projet'!$A$140&gt;35,CT69+CS70-DB69,IF(A70&lt;'Données projet'!$A$140,$CQ$205^A70,IF(A70='Données projet'!$A$140,'Données projet'!$B$140,CT69+CS70-DB69)))</f>
        <v>221.59999999999991</v>
      </c>
      <c r="CU70" s="18">
        <f>CT70*VLOOKUP('Données projet'!$B$13,Paramètres!$A$1:$I$89,3,0)*VLOOKUP('Données projet'!$B$13,Paramètres!$A$1:$I$89,5,0)</f>
        <v>186.67583999999994</v>
      </c>
      <c r="CV70" s="14">
        <f t="shared" si="95"/>
        <v>46.804275023026932</v>
      </c>
      <c r="CW70" s="22">
        <f t="shared" si="67"/>
        <v>406.64453366510514</v>
      </c>
      <c r="CX70" s="60">
        <f t="shared" si="68"/>
        <v>699.97786699843846</v>
      </c>
      <c r="CY70" s="60">
        <f ca="1">AVERAGE(OFFSET($CX$3,0,0,'Données projet'!$E$13+1,1))-AVERAGE(OFFSET($H$3,0,0,'Données projet'!$E$13+1,1))</f>
        <v>403.33327536410098</v>
      </c>
      <c r="CZ70" s="60">
        <f t="shared" si="96"/>
        <v>218.26721063098552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3.7599999999999909</v>
      </c>
      <c r="DO70" s="13">
        <f>IF('Données projet'!$A$166&gt;35,DO69+DN70-DW69,IF(A70&lt;'Données projet'!$A$166,$DL$205^A70,IF(A70='Données projet'!$A$166,'Données projet'!$B$166,DO69+DN70-DW69)))</f>
        <v>251.42000000000013</v>
      </c>
      <c r="DP70" s="18">
        <f>DO70*VLOOKUP('Données projet'!$B$14,Paramètres!$A$1:$I$89,3,0)*VLOOKUP('Données projet'!$B$14,Paramètres!$A$1:$I$89,5,0)</f>
        <v>200.02975200000014</v>
      </c>
      <c r="DQ70" s="14">
        <f t="shared" si="97"/>
        <v>49.750706257872849</v>
      </c>
      <c r="DR70" s="22">
        <f t="shared" si="70"/>
        <v>435.03429813246208</v>
      </c>
      <c r="DS70" s="60">
        <f t="shared" si="71"/>
        <v>728.3676314657954</v>
      </c>
      <c r="DT70" s="60">
        <f ca="1">AVERAGE(OFFSET($DS$3,0,0,'Données projet'!$E$14+1,1))-AVERAGE(OFFSET($H$3,0,0,'Données projet'!$E$14+1,1))</f>
        <v>317.13087551964747</v>
      </c>
      <c r="DU70" s="60">
        <f t="shared" si="98"/>
        <v>293.43300041793185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2.919999999999999</v>
      </c>
      <c r="EJ70" s="13">
        <f>IF('Données projet'!$A$192&gt;35,EJ69+EI70-ER69,IF(A70&lt;'Données projet'!$A$192,$EG$205^A70,IF(A70='Données projet'!$A$192,'Données projet'!$B$192,EJ69+EI70-ER69)))</f>
        <v>199.84000000000012</v>
      </c>
      <c r="EK70" s="18">
        <f>EJ70*VLOOKUP('Données projet'!$B$15,Paramètres!$A$1:$I$89,3,0)*VLOOKUP('Données projet'!$B$15,Paramètres!$A$1:$I$89,5,0)</f>
        <v>158.99270400000009</v>
      </c>
      <c r="EL70" s="14">
        <f t="shared" si="99"/>
        <v>40.615233540121359</v>
      </c>
      <c r="EM70" s="22">
        <f t="shared" si="73"/>
        <v>347.6504912157115</v>
      </c>
      <c r="EN70" s="60">
        <f t="shared" si="74"/>
        <v>640.98382454904481</v>
      </c>
      <c r="EO70" s="60">
        <f ca="1">AVERAGE(OFFSET($EN$3,0,0,'Données projet'!$E$15+1,1))-AVERAGE(OFFSET($H$3,0,0,'Données projet'!$E$15+1,1))</f>
        <v>253.03289960511904</v>
      </c>
      <c r="EP70" s="60">
        <f t="shared" si="100"/>
        <v>236.85088713056018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2.919999999999999</v>
      </c>
      <c r="FE70" s="13">
        <f>IF('Données projet'!$A$218&gt;35,FE69+FD70-FM69,IF(A70&lt;'Données projet'!$A$218,$FB$205^A70,IF(A70='Données projet'!$A$218,'Données projet'!$B$218,FE69+FD70-FM69)))</f>
        <v>199.84000000000012</v>
      </c>
      <c r="FF70" s="18">
        <f>FE70*VLOOKUP('Données projet'!$B$16,Paramètres!$A$1:$I$89,3,0)*VLOOKUP('Données projet'!$B$16,Paramètres!$A$1:$I$89,5,0)</f>
        <v>174.58022400000013</v>
      </c>
      <c r="FG70" s="14">
        <f t="shared" si="101"/>
        <v>44.114248761738594</v>
      </c>
      <c r="FH70" s="22">
        <f t="shared" si="76"/>
        <v>380.89287339336153</v>
      </c>
      <c r="FI70" s="60">
        <f t="shared" si="77"/>
        <v>674.22620672669484</v>
      </c>
      <c r="FJ70" s="60">
        <f ca="1">AVERAGE(OFFSET($FI$3,0,0,'Données projet'!$E$16+1,1))-AVERAGE(OFFSET($H$3,0,0,'Données projet'!$E$16+1,1))</f>
        <v>274.38315511766132</v>
      </c>
      <c r="FK70" s="60">
        <f t="shared" si="102"/>
        <v>255.96663040027175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13.777777777777779</v>
      </c>
      <c r="FZ70" s="13">
        <f>IF('Données projet'!$A$244&gt;35,FZ69+FY70-GH69,IF(A70&lt;'Données projet'!$A$244,$FW$205^A70,IF(A70='Données projet'!$A$244,'Données projet'!$B$244,FZ69+FY70-GH69)))</f>
        <v>330.44444444444423</v>
      </c>
      <c r="GA70" s="18">
        <f>FZ70*VLOOKUP('Données projet'!$B$17,Paramètres!$A$1:$I$89,3,0)*VLOOKUP('Données projet'!$B$17,Paramètres!$A$1:$I$89,5,0)</f>
        <v>283.52133333333319</v>
      </c>
      <c r="GB70" s="14">
        <f t="shared" si="103"/>
        <v>67.71062569759917</v>
      </c>
      <c r="GC70" s="22">
        <f t="shared" si="79"/>
        <v>611.72899531220708</v>
      </c>
      <c r="GD70" s="60">
        <f t="shared" si="80"/>
        <v>905.06232864554045</v>
      </c>
      <c r="GE70" s="60">
        <f ca="1">AVERAGE(OFFSET($GD$3,0,0,'Données projet'!$E$17+1,1))-AVERAGE(OFFSET($H$3,0,0,'Données projet'!$E$17+1,1))</f>
        <v>445.81166342116865</v>
      </c>
      <c r="GF70" s="60">
        <f t="shared" si="104"/>
        <v>230.82970731138215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8.6666666666666661</v>
      </c>
      <c r="GU70" s="13">
        <f>IF('Données projet'!$A$270&gt;35,GU69+GT70-HC69,IF(A70&lt;'Données projet'!$A$270,$GR$205^A70,IF(A70='Données projet'!$A$270,'Données projet'!$B$270,GU69+GT70-HC69)))</f>
        <v>310.66666666666669</v>
      </c>
      <c r="GV70" s="18">
        <f>GU70*VLOOKUP('Données projet'!$B$18,Paramètres!$A$1:$I$89,3,0)*VLOOKUP('Données projet'!$B$18,Paramètres!$A$1:$I$89,5,0)</f>
        <v>242.32000000000002</v>
      </c>
      <c r="GW70" s="14">
        <f t="shared" si="105"/>
        <v>58.938409961900859</v>
      </c>
      <c r="GX70" s="22">
        <f t="shared" si="82"/>
        <v>524.69173068364398</v>
      </c>
      <c r="GY70" s="60">
        <f t="shared" si="83"/>
        <v>818.02506401697724</v>
      </c>
      <c r="GZ70" s="60">
        <f ca="1">AVERAGE(OFFSET($GY$3,0,0,'Données projet'!$E$18+1,1))-AVERAGE(OFFSET($H$3,0,0,'Données projet'!$E$18+1,1))</f>
        <v>289.19475369871481</v>
      </c>
      <c r="HA70" s="60">
        <f t="shared" si="106"/>
        <v>283.48738729114024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projet'!$B$18,Paramètres!$A$1:$I$89,3,0)*0.475*44/12</f>
        <v>0</v>
      </c>
      <c r="HH70" s="23">
        <f>EXP(-LN(2)/25)*HH69+(1-EXP(-LN(2)/25))/(LN(2)/25)*Calculateur!HC70*Calculateur!HE70*VLOOKUP('Données projet'!$B$18,Paramètres!$A$1:$I$89,3,0)*0.475*44/12</f>
        <v>0</v>
      </c>
      <c r="HI70" s="23">
        <f>EXP(-LN(2)/2)*HI69+(1-EXP(-LN(2)/2))/(LN(2)/2)*HC70*HF70*VLOOKUP('Données projet'!$B$18,Paramètres!$A$1:$I$89,3,0)*0.475*44/12</f>
        <v>0</v>
      </c>
      <c r="HJ70" s="24">
        <f t="shared" si="84"/>
        <v>0</v>
      </c>
    </row>
    <row r="71" spans="1:218" s="5" customFormat="1" x14ac:dyDescent="0.3">
      <c r="A71" s="11">
        <f t="shared" si="85"/>
        <v>68</v>
      </c>
      <c r="B71" s="75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8">
        <f t="shared" si="56"/>
        <v>256.66666666666669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228.39999999999992</v>
      </c>
      <c r="O71" s="14">
        <f>N71*VLOOKUP('Données projet'!$B$9,Paramètres!$A$1:$I$89,3,0)*VLOOKUP('Données projet'!$B$9,Paramètres!$A$1:$I$89,5,0)</f>
        <v>220.90847999999991</v>
      </c>
      <c r="P71" s="14">
        <f t="shared" si="87"/>
        <v>54.312291977864817</v>
      </c>
      <c r="Q71" s="22">
        <f t="shared" si="54"/>
        <v>479.34284452811431</v>
      </c>
      <c r="R71" s="60">
        <f t="shared" si="55"/>
        <v>772.67617786144763</v>
      </c>
      <c r="S71" s="60">
        <f ca="1">AVERAGE(OFFSET($R$3,0,0,'Données projet'!$E$9+1,1))-AVERAGE(OFFSET($H$3,0,0,'Données projet'!$E$9+1,1))</f>
        <v>456.86147223520601</v>
      </c>
      <c r="T71" s="60">
        <f t="shared" si="88"/>
        <v>244.45149244446094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1.1499999999999999</v>
      </c>
      <c r="AI71" s="14">
        <f>IF('Données projet'!$A$62&gt;35,AI70+AH71-AQ70,IF(A71&lt;'Données projet'!$A$62,$AF$205^A71,IF(A71='Données projet'!$A$62,'Données projet'!$B$62,AI70+AH71-AQ70)))</f>
        <v>165.20000000000019</v>
      </c>
      <c r="AJ71" s="14">
        <f>AI71*VLOOKUP('Données projet'!$B$10,Paramètres!$A$1:$I$89,3,0)*VLOOKUP('Données projet'!$B$10,Paramètres!$A$1:$I$89,5,0)</f>
        <v>108.23904000000012</v>
      </c>
      <c r="AK71" s="14">
        <f t="shared" si="89"/>
        <v>28.91569977717025</v>
      </c>
      <c r="AL71" s="22">
        <f t="shared" si="58"/>
        <v>238.87783844523835</v>
      </c>
      <c r="AM71" s="60">
        <f t="shared" si="59"/>
        <v>532.21117177857172</v>
      </c>
      <c r="AN71" s="60">
        <f ca="1">AVERAGE(OFFSET($AM$3,0,0,'Données projet'!$E$10+1,1))-AVERAGE(OFFSET($H$3,0,0,'Données projet'!$E$10+1,1))</f>
        <v>170.79567854714986</v>
      </c>
      <c r="AO71" s="60">
        <f t="shared" si="90"/>
        <v>155.92788004111191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-1.1368683772161603E-13</v>
      </c>
      <c r="BE71" s="14">
        <f>BD71*VLOOKUP('Données projet'!$B$11,Paramètres!$A$1:$I$89,3,0)*VLOOKUP('Données projet'!$B$11,Paramètres!$A$1:$I$89,5,0)</f>
        <v>-9.2222762759774927E-14</v>
      </c>
      <c r="BF71" s="14" t="e">
        <f t="shared" si="91"/>
        <v>#NUM!</v>
      </c>
      <c r="BG71" s="22" t="e">
        <f t="shared" si="61"/>
        <v>#NUM!</v>
      </c>
      <c r="BH71" s="60" t="e">
        <f t="shared" si="62"/>
        <v>#NUM!</v>
      </c>
      <c r="BI71" s="60">
        <f ca="1">AVERAGE(OFFSET($BH$3,0,0,'Données projet'!$E$11+1,1))-AVERAGE(OFFSET($H$3,0,0,'Données projet'!$E$11+1,1))</f>
        <v>256.19915261735281</v>
      </c>
      <c r="BJ71" s="60">
        <f t="shared" si="92"/>
        <v>297.47246687305056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4.3589743589743595</v>
      </c>
      <c r="BY71" s="13">
        <f>IF('Données projet'!$A$114&gt;35,BY70+BX71-CG70,IF(A71&lt;'Données projet'!$A$114,$BV$205^A71,IF(A71='Données projet'!$A$114,'Données projet'!$B$114,BY70+BX71-CG70)))</f>
        <v>185.51282051282041</v>
      </c>
      <c r="BZ71" s="14">
        <f>BY71*VLOOKUP('Données projet'!$B$12,Paramètres!$A$1:$I$89,3,0)*VLOOKUP('Données projet'!$B$12,Paramètres!$A$1:$I$89,5,0)</f>
        <v>176.53399999999991</v>
      </c>
      <c r="CA71" s="14">
        <f t="shared" si="93"/>
        <v>44.550194592706617</v>
      </c>
      <c r="CB71" s="22">
        <f t="shared" si="64"/>
        <v>385.05497224896385</v>
      </c>
      <c r="CC71" s="60">
        <f t="shared" si="65"/>
        <v>678.38830558229711</v>
      </c>
      <c r="CD71" s="60">
        <f ca="1">AVERAGE(OFFSET($CC$3,0,0,'Données projet'!$E$12+1,1))-AVERAGE(OFFSET($H$3,0,0,'Données projet'!$E$12+1,1))</f>
        <v>353.53401919391234</v>
      </c>
      <c r="CE71" s="60">
        <f t="shared" si="94"/>
        <v>244.7141066773861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6.8</v>
      </c>
      <c r="CT71" s="13">
        <f>IF('Données projet'!$A$140&gt;35,CT70+CS71-DB70,IF(A71&lt;'Données projet'!$A$140,$CQ$205^A71,IF(A71='Données projet'!$A$140,'Données projet'!$B$140,CT70+CS71-DB70)))</f>
        <v>228.39999999999992</v>
      </c>
      <c r="CU71" s="18">
        <f>CT71*VLOOKUP('Données projet'!$B$13,Paramètres!$A$1:$I$89,3,0)*VLOOKUP('Données projet'!$B$13,Paramètres!$A$1:$I$89,5,0)</f>
        <v>192.40415999999996</v>
      </c>
      <c r="CV71" s="14">
        <f t="shared" si="95"/>
        <v>48.071088890795593</v>
      </c>
      <c r="CW71" s="22">
        <f t="shared" si="67"/>
        <v>418.82772515146894</v>
      </c>
      <c r="CX71" s="60">
        <f t="shared" si="68"/>
        <v>712.1610584848022</v>
      </c>
      <c r="CY71" s="60">
        <f ca="1">AVERAGE(OFFSET($CX$3,0,0,'Données projet'!$E$13+1,1))-AVERAGE(OFFSET($H$3,0,0,'Données projet'!$E$13+1,1))</f>
        <v>403.33327536410098</v>
      </c>
      <c r="CZ71" s="60">
        <f t="shared" si="96"/>
        <v>218.26721063098552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3.7599999999999909</v>
      </c>
      <c r="DO71" s="13">
        <f>IF('Données projet'!$A$166&gt;35,DO70+DN71-DW70,IF(A71&lt;'Données projet'!$A$166,$DL$205^A71,IF(A71='Données projet'!$A$166,'Données projet'!$B$166,DO70+DN71-DW70)))</f>
        <v>255.18000000000012</v>
      </c>
      <c r="DP71" s="18">
        <f>DO71*VLOOKUP('Données projet'!$B$14,Paramètres!$A$1:$I$89,3,0)*VLOOKUP('Données projet'!$B$14,Paramètres!$A$1:$I$89,5,0)</f>
        <v>203.02120800000012</v>
      </c>
      <c r="DQ71" s="14">
        <f t="shared" si="97"/>
        <v>50.40755731283582</v>
      </c>
      <c r="DR71" s="22">
        <f t="shared" si="70"/>
        <v>441.38843291985592</v>
      </c>
      <c r="DS71" s="60">
        <f t="shared" si="71"/>
        <v>734.72176625318923</v>
      </c>
      <c r="DT71" s="60">
        <f ca="1">AVERAGE(OFFSET($DS$3,0,0,'Données projet'!$E$14+1,1))-AVERAGE(OFFSET($H$3,0,0,'Données projet'!$E$14+1,1))</f>
        <v>317.13087551964747</v>
      </c>
      <c r="DU71" s="60">
        <f t="shared" si="98"/>
        <v>293.43300041793185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2.919999999999999</v>
      </c>
      <c r="EJ71" s="13">
        <f>IF('Données projet'!$A$192&gt;35,EJ70+EI71-ER70,IF(A71&lt;'Données projet'!$A$192,$EG$205^A71,IF(A71='Données projet'!$A$192,'Données projet'!$B$192,EJ70+EI71-ER70)))</f>
        <v>202.7600000000001</v>
      </c>
      <c r="EK71" s="18">
        <f>EJ71*VLOOKUP('Données projet'!$B$15,Paramètres!$A$1:$I$89,3,0)*VLOOKUP('Données projet'!$B$15,Paramètres!$A$1:$I$89,5,0)</f>
        <v>161.31585600000011</v>
      </c>
      <c r="EL71" s="14">
        <f t="shared" si="99"/>
        <v>41.139168774638463</v>
      </c>
      <c r="EM71" s="22">
        <f t="shared" si="73"/>
        <v>352.60916814916209</v>
      </c>
      <c r="EN71" s="60">
        <f t="shared" si="74"/>
        <v>645.94250148249535</v>
      </c>
      <c r="EO71" s="60">
        <f ca="1">AVERAGE(OFFSET($EN$3,0,0,'Données projet'!$E$15+1,1))-AVERAGE(OFFSET($H$3,0,0,'Données projet'!$E$15+1,1))</f>
        <v>253.03289960511904</v>
      </c>
      <c r="EP71" s="60">
        <f t="shared" si="100"/>
        <v>236.85088713056018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2.919999999999999</v>
      </c>
      <c r="FE71" s="13">
        <f>IF('Données projet'!$A$218&gt;35,FE70+FD71-FM70,IF(A71&lt;'Données projet'!$A$218,$FB$205^A71,IF(A71='Données projet'!$A$218,'Données projet'!$B$218,FE70+FD71-FM70)))</f>
        <v>202.7600000000001</v>
      </c>
      <c r="FF71" s="18">
        <f>FE71*VLOOKUP('Données projet'!$B$16,Paramètres!$A$1:$I$89,3,0)*VLOOKUP('Données projet'!$B$16,Paramètres!$A$1:$I$89,5,0)</f>
        <v>177.13113600000011</v>
      </c>
      <c r="FG71" s="14">
        <f t="shared" si="101"/>
        <v>44.683321182501487</v>
      </c>
      <c r="FH71" s="22">
        <f t="shared" si="76"/>
        <v>386.32684625952356</v>
      </c>
      <c r="FI71" s="60">
        <f t="shared" si="77"/>
        <v>679.66017959285682</v>
      </c>
      <c r="FJ71" s="60">
        <f ca="1">AVERAGE(OFFSET($FI$3,0,0,'Données projet'!$E$16+1,1))-AVERAGE(OFFSET($H$3,0,0,'Données projet'!$E$16+1,1))</f>
        <v>274.38315511766132</v>
      </c>
      <c r="FK71" s="60">
        <f t="shared" si="102"/>
        <v>255.96663040027175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13.777777777777779</v>
      </c>
      <c r="FZ71" s="13">
        <f>IF('Données projet'!$A$244&gt;35,FZ70+FY71-GH70,IF(A71&lt;'Données projet'!$A$244,$FW$205^A71,IF(A71='Données projet'!$A$244,'Données projet'!$B$244,FZ70+FY71-GH70)))</f>
        <v>344.222222222222</v>
      </c>
      <c r="GA71" s="18">
        <f>FZ71*VLOOKUP('Données projet'!$B$17,Paramètres!$A$1:$I$89,3,0)*VLOOKUP('Données projet'!$B$17,Paramètres!$A$1:$I$89,5,0)</f>
        <v>295.3426666666665</v>
      </c>
      <c r="GB71" s="14">
        <f t="shared" si="103"/>
        <v>70.199220220485287</v>
      </c>
      <c r="GC71" s="22">
        <f t="shared" si="79"/>
        <v>636.65211966178947</v>
      </c>
      <c r="GD71" s="60">
        <f t="shared" si="80"/>
        <v>929.98545299512284</v>
      </c>
      <c r="GE71" s="60">
        <f ca="1">AVERAGE(OFFSET($GD$3,0,0,'Données projet'!$E$17+1,1))-AVERAGE(OFFSET($H$3,0,0,'Données projet'!$E$17+1,1))</f>
        <v>445.81166342116865</v>
      </c>
      <c r="GF71" s="60">
        <f t="shared" si="104"/>
        <v>230.82970731138215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8.6666666666666661</v>
      </c>
      <c r="GU71" s="13">
        <f>IF('Données projet'!$A$270&gt;35,GU70+GT71-HC70,IF(A71&lt;'Données projet'!$A$270,$GR$205^A71,IF(A71='Données projet'!$A$270,'Données projet'!$B$270,GU70+GT71-HC70)))</f>
        <v>319.33333333333337</v>
      </c>
      <c r="GV71" s="18">
        <f>GU71*VLOOKUP('Données projet'!$B$18,Paramètres!$A$1:$I$89,3,0)*VLOOKUP('Données projet'!$B$18,Paramètres!$A$1:$I$89,5,0)</f>
        <v>249.08000000000004</v>
      </c>
      <c r="GW71" s="14">
        <f t="shared" si="105"/>
        <v>60.388894447487807</v>
      </c>
      <c r="GX71" s="22">
        <f t="shared" si="82"/>
        <v>538.99165782937473</v>
      </c>
      <c r="GY71" s="60">
        <f t="shared" si="83"/>
        <v>832.3249911627081</v>
      </c>
      <c r="GZ71" s="60">
        <f ca="1">AVERAGE(OFFSET($GY$3,0,0,'Données projet'!$E$18+1,1))-AVERAGE(OFFSET($H$3,0,0,'Données projet'!$E$18+1,1))</f>
        <v>289.19475369871481</v>
      </c>
      <c r="HA71" s="60">
        <f t="shared" si="106"/>
        <v>283.48738729114024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projet'!$B$18,Paramètres!$A$1:$I$89,3,0)*0.475*44/12</f>
        <v>0</v>
      </c>
      <c r="HH71" s="23">
        <f>EXP(-LN(2)/25)*HH70+(1-EXP(-LN(2)/25))/(LN(2)/25)*Calculateur!HC71*Calculateur!HE71*VLOOKUP('Données projet'!$B$18,Paramètres!$A$1:$I$89,3,0)*0.475*44/12</f>
        <v>0</v>
      </c>
      <c r="HI71" s="23">
        <f>EXP(-LN(2)/2)*HI70+(1-EXP(-LN(2)/2))/(LN(2)/2)*HC71*HF71*VLOOKUP('Données projet'!$B$18,Paramètres!$A$1:$I$89,3,0)*0.475*44/12</f>
        <v>0</v>
      </c>
      <c r="HJ71" s="24">
        <f t="shared" si="84"/>
        <v>0</v>
      </c>
    </row>
    <row r="72" spans="1:218" s="5" customFormat="1" x14ac:dyDescent="0.3">
      <c r="A72" s="11">
        <f t="shared" si="85"/>
        <v>69</v>
      </c>
      <c r="B72" s="75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8">
        <f t="shared" si="56"/>
        <v>256.66666666666669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235.19999999999993</v>
      </c>
      <c r="O72" s="14">
        <f>N72*VLOOKUP('Données projet'!$B$9,Paramètres!$A$1:$I$89,3,0)*VLOOKUP('Données projet'!$B$9,Paramètres!$A$1:$I$89,5,0)</f>
        <v>227.48543999999993</v>
      </c>
      <c r="P72" s="14">
        <f t="shared" si="87"/>
        <v>55.738627496252377</v>
      </c>
      <c r="Q72" s="22">
        <f t="shared" si="54"/>
        <v>493.28191755597277</v>
      </c>
      <c r="R72" s="60">
        <f t="shared" si="55"/>
        <v>786.61525088930603</v>
      </c>
      <c r="S72" s="60">
        <f ca="1">AVERAGE(OFFSET($R$3,0,0,'Données projet'!$E$9+1,1))-AVERAGE(OFFSET($H$3,0,0,'Données projet'!$E$9+1,1))</f>
        <v>456.86147223520601</v>
      </c>
      <c r="T72" s="60">
        <f t="shared" si="88"/>
        <v>244.45149244446094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1.1499999999999999</v>
      </c>
      <c r="AI72" s="14">
        <f>IF('Données projet'!$A$62&gt;35,AI71+AH72-AQ71,IF(A72&lt;'Données projet'!$A$62,$AF$205^A72,IF(A72='Données projet'!$A$62,'Données projet'!$B$62,AI71+AH72-AQ71)))</f>
        <v>166.35000000000019</v>
      </c>
      <c r="AJ72" s="14">
        <f>AI72*VLOOKUP('Données projet'!$B$10,Paramètres!$A$1:$I$89,3,0)*VLOOKUP('Données projet'!$B$10,Paramètres!$A$1:$I$89,5,0)</f>
        <v>108.99252000000013</v>
      </c>
      <c r="AK72" s="14">
        <f t="shared" si="89"/>
        <v>29.09348746334496</v>
      </c>
      <c r="AL72" s="22">
        <f t="shared" si="58"/>
        <v>240.49979633199266</v>
      </c>
      <c r="AM72" s="60">
        <f t="shared" si="59"/>
        <v>533.83312966532594</v>
      </c>
      <c r="AN72" s="60">
        <f ca="1">AVERAGE(OFFSET($AM$3,0,0,'Données projet'!$E$10+1,1))-AVERAGE(OFFSET($H$3,0,0,'Données projet'!$E$10+1,1))</f>
        <v>170.79567854714986</v>
      </c>
      <c r="AO72" s="60">
        <f t="shared" si="90"/>
        <v>155.92788004111191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-1.1368683772161603E-13</v>
      </c>
      <c r="BE72" s="14">
        <f>BD72*VLOOKUP('Données projet'!$B$11,Paramètres!$A$1:$I$89,3,0)*VLOOKUP('Données projet'!$B$11,Paramètres!$A$1:$I$89,5,0)</f>
        <v>-9.2222762759774927E-14</v>
      </c>
      <c r="BF72" s="14" t="e">
        <f t="shared" si="91"/>
        <v>#NUM!</v>
      </c>
      <c r="BG72" s="22" t="e">
        <f t="shared" si="61"/>
        <v>#NUM!</v>
      </c>
      <c r="BH72" s="60" t="e">
        <f t="shared" si="62"/>
        <v>#NUM!</v>
      </c>
      <c r="BI72" s="60">
        <f ca="1">AVERAGE(OFFSET($BH$3,0,0,'Données projet'!$E$11+1,1))-AVERAGE(OFFSET($H$3,0,0,'Données projet'!$E$11+1,1))</f>
        <v>256.19915261735281</v>
      </c>
      <c r="BJ72" s="60">
        <f t="shared" si="92"/>
        <v>297.47246687305056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4.3589743589743595</v>
      </c>
      <c r="BY72" s="13">
        <f>IF('Données projet'!$A$114&gt;35,BY71+BX72-CG71,IF(A72&lt;'Données projet'!$A$114,$BV$205^A72,IF(A72='Données projet'!$A$114,'Données projet'!$B$114,BY71+BX72-CG71)))</f>
        <v>189.87179487179478</v>
      </c>
      <c r="BZ72" s="14">
        <f>BY72*VLOOKUP('Données projet'!$B$12,Paramètres!$A$1:$I$89,3,0)*VLOOKUP('Données projet'!$B$12,Paramètres!$A$1:$I$89,5,0)</f>
        <v>180.6819999999999</v>
      </c>
      <c r="CA72" s="14">
        <f t="shared" si="93"/>
        <v>45.473885189516494</v>
      </c>
      <c r="CB72" s="22">
        <f t="shared" si="64"/>
        <v>393.88816670507435</v>
      </c>
      <c r="CC72" s="60">
        <f t="shared" si="65"/>
        <v>687.22150003840761</v>
      </c>
      <c r="CD72" s="60">
        <f ca="1">AVERAGE(OFFSET($CC$3,0,0,'Données projet'!$E$12+1,1))-AVERAGE(OFFSET($H$3,0,0,'Données projet'!$E$12+1,1))</f>
        <v>353.53401919391234</v>
      </c>
      <c r="CE72" s="60">
        <f t="shared" si="94"/>
        <v>244.7141066773861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6.8</v>
      </c>
      <c r="CT72" s="13">
        <f>IF('Données projet'!$A$140&gt;35,CT71+CS72-DB71,IF(A72&lt;'Données projet'!$A$140,$CQ$205^A72,IF(A72='Données projet'!$A$140,'Données projet'!$B$140,CT71+CS72-DB71)))</f>
        <v>235.19999999999993</v>
      </c>
      <c r="CU72" s="18">
        <f>CT72*VLOOKUP('Données projet'!$B$13,Paramètres!$A$1:$I$89,3,0)*VLOOKUP('Données projet'!$B$13,Paramètres!$A$1:$I$89,5,0)</f>
        <v>198.13247999999996</v>
      </c>
      <c r="CV72" s="14">
        <f t="shared" si="95"/>
        <v>49.333519530262095</v>
      </c>
      <c r="CW72" s="22">
        <f t="shared" si="67"/>
        <v>431.00328251520637</v>
      </c>
      <c r="CX72" s="60">
        <f t="shared" si="68"/>
        <v>724.33661584853962</v>
      </c>
      <c r="CY72" s="60">
        <f ca="1">AVERAGE(OFFSET($CX$3,0,0,'Données projet'!$E$13+1,1))-AVERAGE(OFFSET($H$3,0,0,'Données projet'!$E$13+1,1))</f>
        <v>403.33327536410098</v>
      </c>
      <c r="CZ72" s="60">
        <f t="shared" si="96"/>
        <v>218.26721063098552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3.7599999999999909</v>
      </c>
      <c r="DO72" s="13">
        <f>IF('Données projet'!$A$166&gt;35,DO71+DN72-DW71,IF(A72&lt;'Données projet'!$A$166,$DL$205^A72,IF(A72='Données projet'!$A$166,'Données projet'!$B$166,DO71+DN72-DW71)))</f>
        <v>258.94000000000011</v>
      </c>
      <c r="DP72" s="18">
        <f>DO72*VLOOKUP('Données projet'!$B$14,Paramètres!$A$1:$I$89,3,0)*VLOOKUP('Données projet'!$B$14,Paramètres!$A$1:$I$89,5,0)</f>
        <v>206.01266400000011</v>
      </c>
      <c r="DQ72" s="14">
        <f t="shared" si="97"/>
        <v>51.063282712732288</v>
      </c>
      <c r="DR72" s="22">
        <f t="shared" si="70"/>
        <v>447.74060719134218</v>
      </c>
      <c r="DS72" s="60">
        <f t="shared" si="71"/>
        <v>741.07394052467544</v>
      </c>
      <c r="DT72" s="60">
        <f ca="1">AVERAGE(OFFSET($DS$3,0,0,'Données projet'!$E$14+1,1))-AVERAGE(OFFSET($H$3,0,0,'Données projet'!$E$14+1,1))</f>
        <v>317.13087551964747</v>
      </c>
      <c r="DU72" s="60">
        <f t="shared" si="98"/>
        <v>293.43300041793185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2.919999999999999</v>
      </c>
      <c r="EJ72" s="13">
        <f>IF('Données projet'!$A$192&gt;35,EJ71+EI72-ER71,IF(A72&lt;'Données projet'!$A$192,$EG$205^A72,IF(A72='Données projet'!$A$192,'Données projet'!$B$192,EJ71+EI72-ER71)))</f>
        <v>205.68000000000009</v>
      </c>
      <c r="EK72" s="18">
        <f>EJ72*VLOOKUP('Données projet'!$B$15,Paramètres!$A$1:$I$89,3,0)*VLOOKUP('Données projet'!$B$15,Paramètres!$A$1:$I$89,5,0)</f>
        <v>163.6390080000001</v>
      </c>
      <c r="EL72" s="14">
        <f t="shared" si="99"/>
        <v>41.662226436518054</v>
      </c>
      <c r="EM72" s="22">
        <f t="shared" si="73"/>
        <v>357.56631664360242</v>
      </c>
      <c r="EN72" s="60">
        <f t="shared" si="74"/>
        <v>650.89964997693573</v>
      </c>
      <c r="EO72" s="60">
        <f ca="1">AVERAGE(OFFSET($EN$3,0,0,'Données projet'!$E$15+1,1))-AVERAGE(OFFSET($H$3,0,0,'Données projet'!$E$15+1,1))</f>
        <v>253.03289960511904</v>
      </c>
      <c r="EP72" s="60">
        <f t="shared" si="100"/>
        <v>236.85088713056018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2.919999999999999</v>
      </c>
      <c r="FE72" s="13">
        <f>IF('Données projet'!$A$218&gt;35,FE71+FD72-FM71,IF(A72&lt;'Données projet'!$A$218,$FB$205^A72,IF(A72='Données projet'!$A$218,'Données projet'!$B$218,FE71+FD72-FM71)))</f>
        <v>205.68000000000009</v>
      </c>
      <c r="FF72" s="18">
        <f>FE72*VLOOKUP('Données projet'!$B$16,Paramètres!$A$1:$I$89,3,0)*VLOOKUP('Données projet'!$B$16,Paramètres!$A$1:$I$89,5,0)</f>
        <v>179.68204800000009</v>
      </c>
      <c r="FG72" s="14">
        <f t="shared" si="101"/>
        <v>45.251440427466463</v>
      </c>
      <c r="FH72" s="22">
        <f t="shared" si="76"/>
        <v>391.75915901117088</v>
      </c>
      <c r="FI72" s="60">
        <f t="shared" si="77"/>
        <v>685.09249234450419</v>
      </c>
      <c r="FJ72" s="60">
        <f ca="1">AVERAGE(OFFSET($FI$3,0,0,'Données projet'!$E$16+1,1))-AVERAGE(OFFSET($H$3,0,0,'Données projet'!$E$16+1,1))</f>
        <v>274.38315511766132</v>
      </c>
      <c r="FK72" s="60">
        <f t="shared" si="102"/>
        <v>255.96663040027175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>
        <f>VLOOKUP(A72,'Données projet'!$A$243:$I$263,2,0)</f>
        <v>358</v>
      </c>
      <c r="FX72" s="13">
        <f>VLOOKUP(A72,'Données projet'!$A$243:$I$263,9,0)</f>
        <v>13.777777777777779</v>
      </c>
      <c r="FY72" s="13">
        <f t="array" ref="FY72">INDEX(FX:FX,MIN(IF(ISNUMBER(FX72:FX268),ROW(FX72:FX268),"")))</f>
        <v>13.777777777777779</v>
      </c>
      <c r="FZ72" s="13">
        <f>IF('Données projet'!$A$244&gt;35,FZ71+FY72-GH71,IF(A72&lt;'Données projet'!$A$244,$FW$205^A72,IF(A72='Données projet'!$A$244,'Données projet'!$B$244,FZ71+FY72-GH71)))</f>
        <v>357.99999999999977</v>
      </c>
      <c r="GA72" s="18">
        <f>FZ72*VLOOKUP('Données projet'!$B$17,Paramètres!$A$1:$I$89,3,0)*VLOOKUP('Données projet'!$B$17,Paramètres!$A$1:$I$89,5,0)</f>
        <v>307.16399999999982</v>
      </c>
      <c r="GB72" s="14">
        <f t="shared" si="103"/>
        <v>72.676244071302918</v>
      </c>
      <c r="GC72" s="22">
        <f t="shared" si="79"/>
        <v>661.55509175751888</v>
      </c>
      <c r="GD72" s="60">
        <f t="shared" si="80"/>
        <v>954.88842509085225</v>
      </c>
      <c r="GE72" s="60">
        <f ca="1">AVERAGE(OFFSET($GD$3,0,0,'Données projet'!$E$17+1,1))-AVERAGE(OFFSET($H$3,0,0,'Données projet'!$E$17+1,1))</f>
        <v>445.81166342116865</v>
      </c>
      <c r="GF72" s="60">
        <f t="shared" si="104"/>
        <v>230.82970731138215</v>
      </c>
      <c r="GG72" s="16">
        <f>IF(ISNA(VLOOKUP(A72,'Données projet'!$A$243:$I$263,3,0)),0,VLOOKUP(A72,'Données projet'!$A$243:$I$263,3,0))</f>
        <v>8</v>
      </c>
      <c r="GH72" s="16">
        <f>IF(ISNA(VLOOKUP(A72,'Données projet'!$A$243:$I$263,4,0)),0,VLOOKUP(A72,'Données projet'!$A$243:$I$263,4,0))</f>
        <v>84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>
        <f>VLOOKUP(A72,'Données projet'!$A$269:$I$289,2,0)</f>
        <v>328</v>
      </c>
      <c r="GS72" s="13">
        <f>VLOOKUP(A72,'Données projet'!$A$269:$I$289,9,0)</f>
        <v>8.6666666666666661</v>
      </c>
      <c r="GT72" s="13">
        <f t="array" ref="GT72">INDEX(GS:GS,MIN(IF(ISNUMBER(GS72:GS268),ROW(GS72:GS268),"")))</f>
        <v>8.6666666666666661</v>
      </c>
      <c r="GU72" s="13">
        <f>IF('Données projet'!$A$270&gt;35,GU71+GT72-HC71,IF(A72&lt;'Données projet'!$A$270,$GR$205^A72,IF(A72='Données projet'!$A$270,'Données projet'!$B$270,GU71+GT72-HC71)))</f>
        <v>328.00000000000006</v>
      </c>
      <c r="GV72" s="18">
        <f>GU72*VLOOKUP('Données projet'!$B$18,Paramètres!$A$1:$I$89,3,0)*VLOOKUP('Données projet'!$B$18,Paramètres!$A$1:$I$89,5,0)</f>
        <v>255.84000000000006</v>
      </c>
      <c r="GW72" s="14">
        <f t="shared" si="105"/>
        <v>61.834803371075836</v>
      </c>
      <c r="GX72" s="22">
        <f t="shared" si="82"/>
        <v>553.28361587129041</v>
      </c>
      <c r="GY72" s="60">
        <f t="shared" si="83"/>
        <v>846.61694920462378</v>
      </c>
      <c r="GZ72" s="60">
        <f ca="1">AVERAGE(OFFSET($GY$3,0,0,'Données projet'!$E$18+1,1))-AVERAGE(OFFSET($H$3,0,0,'Données projet'!$E$18+1,1))</f>
        <v>289.19475369871481</v>
      </c>
      <c r="HA72" s="60">
        <f t="shared" si="106"/>
        <v>283.48738729114024</v>
      </c>
      <c r="HB72" s="16">
        <f>IF(ISNA(VLOOKUP(A72,'Données projet'!$A$269:$I$289,3,0)),0,VLOOKUP(A72,'Données projet'!$A$269:$I$289,3,0))</f>
        <v>8</v>
      </c>
      <c r="HC72" s="16">
        <f>IF(ISNA(VLOOKUP(A72,'Données projet'!$A$269:$I$289,4,0)),0,VLOOKUP(A72,'Données projet'!$A$269:$I$289,4,0))</f>
        <v>328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projet'!$B$18,Paramètres!$A$1:$I$89,3,0)*0.475*44/12</f>
        <v>0</v>
      </c>
      <c r="HH72" s="23">
        <f>EXP(-LN(2)/25)*HH71+(1-EXP(-LN(2)/25))/(LN(2)/25)*Calculateur!HC72*Calculateur!HE72*VLOOKUP('Données projet'!$B$18,Paramètres!$A$1:$I$89,3,0)*0.475*44/12</f>
        <v>0</v>
      </c>
      <c r="HI72" s="23">
        <f>EXP(-LN(2)/2)*HI71+(1-EXP(-LN(2)/2))/(LN(2)/2)*HC72*HF72*VLOOKUP('Données projet'!$B$18,Paramètres!$A$1:$I$89,3,0)*0.475*44/12</f>
        <v>0</v>
      </c>
      <c r="HJ72" s="24">
        <f t="shared" si="84"/>
        <v>0</v>
      </c>
    </row>
    <row r="73" spans="1:218" s="5" customFormat="1" x14ac:dyDescent="0.3">
      <c r="A73" s="11">
        <f t="shared" si="85"/>
        <v>70</v>
      </c>
      <c r="B73" s="75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8">
        <f t="shared" si="56"/>
        <v>256.66666666666669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241.99999999999994</v>
      </c>
      <c r="O73" s="14">
        <f>N73*VLOOKUP('Données projet'!$B$9,Paramètres!$A$1:$I$89,3,0)*VLOOKUP('Données projet'!$B$9,Paramètres!$A$1:$I$89,5,0)</f>
        <v>234.06239999999994</v>
      </c>
      <c r="P73" s="14">
        <f t="shared" si="87"/>
        <v>57.16017032126387</v>
      </c>
      <c r="Q73" s="22">
        <f t="shared" si="54"/>
        <v>507.21264330953437</v>
      </c>
      <c r="R73" s="60">
        <f t="shared" si="55"/>
        <v>800.54597664286769</v>
      </c>
      <c r="S73" s="60">
        <f ca="1">AVERAGE(OFFSET($R$3,0,0,'Données projet'!$E$9+1,1))-AVERAGE(OFFSET($H$3,0,0,'Données projet'!$E$9+1,1))</f>
        <v>456.86147223520601</v>
      </c>
      <c r="T73" s="60">
        <f t="shared" si="88"/>
        <v>244.45149244446094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1.1499999999999999</v>
      </c>
      <c r="AI73" s="14">
        <f>IF('Données projet'!$A$62&gt;35,AI72+AH73-AQ72,IF(A73&lt;'Données projet'!$A$62,$AF$205^A73,IF(A73='Données projet'!$A$62,'Données projet'!$B$62,AI72+AH73-AQ72)))</f>
        <v>167.5000000000002</v>
      </c>
      <c r="AJ73" s="14">
        <f>AI73*VLOOKUP('Données projet'!$B$10,Paramètres!$A$1:$I$89,3,0)*VLOOKUP('Données projet'!$B$10,Paramètres!$A$1:$I$89,5,0)</f>
        <v>109.74600000000012</v>
      </c>
      <c r="AK73" s="14">
        <f t="shared" si="89"/>
        <v>29.271132142081026</v>
      </c>
      <c r="AL73" s="22">
        <f t="shared" si="58"/>
        <v>242.12150514745795</v>
      </c>
      <c r="AM73" s="60">
        <f t="shared" si="59"/>
        <v>535.4548384807913</v>
      </c>
      <c r="AN73" s="60">
        <f ca="1">AVERAGE(OFFSET($AM$3,0,0,'Données projet'!$E$10+1,1))-AVERAGE(OFFSET($H$3,0,0,'Données projet'!$E$10+1,1))</f>
        <v>170.79567854714986</v>
      </c>
      <c r="AO73" s="60">
        <f t="shared" si="90"/>
        <v>155.92788004111191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-1.1368683772161603E-13</v>
      </c>
      <c r="BE73" s="14">
        <f>BD73*VLOOKUP('Données projet'!$B$11,Paramètres!$A$1:$I$89,3,0)*VLOOKUP('Données projet'!$B$11,Paramètres!$A$1:$I$89,5,0)</f>
        <v>-9.2222762759774927E-14</v>
      </c>
      <c r="BF73" s="14" t="e">
        <f t="shared" si="91"/>
        <v>#NUM!</v>
      </c>
      <c r="BG73" s="22" t="e">
        <f t="shared" si="61"/>
        <v>#NUM!</v>
      </c>
      <c r="BH73" s="60" t="e">
        <f t="shared" si="62"/>
        <v>#NUM!</v>
      </c>
      <c r="BI73" s="60">
        <f ca="1">AVERAGE(OFFSET($BH$3,0,0,'Données projet'!$E$11+1,1))-AVERAGE(OFFSET($H$3,0,0,'Données projet'!$E$11+1,1))</f>
        <v>256.19915261735281</v>
      </c>
      <c r="BJ73" s="60">
        <f t="shared" si="92"/>
        <v>297.47246687305056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194.23076923076923</v>
      </c>
      <c r="BW73" s="13">
        <f>VLOOKUP(A73,'Données projet'!$A$113:$I$133,9,0)</f>
        <v>4.3589743589743595</v>
      </c>
      <c r="BX73" s="13">
        <f t="array" ref="BX73">INDEX(BW:BW,MIN(IF(ISNUMBER(BW73:BW269),ROW(BW73:BW269),"")))</f>
        <v>4.3589743589743595</v>
      </c>
      <c r="BY73" s="13">
        <f>IF('Données projet'!$A$114&gt;35,BY72+BX73-CG72,IF(A73&lt;'Données projet'!$A$114,$BV$205^A73,IF(A73='Données projet'!$A$114,'Données projet'!$B$114,BY72+BX73-CG72)))</f>
        <v>194.23076923076914</v>
      </c>
      <c r="BZ73" s="14">
        <f>BY73*VLOOKUP('Données projet'!$B$12,Paramètres!$A$1:$I$89,3,0)*VLOOKUP('Données projet'!$B$12,Paramètres!$A$1:$I$89,5,0)</f>
        <v>184.8299999999999</v>
      </c>
      <c r="CA73" s="14">
        <f t="shared" si="93"/>
        <v>46.395110521715885</v>
      </c>
      <c r="CB73" s="22">
        <f t="shared" si="64"/>
        <v>402.7170674919883</v>
      </c>
      <c r="CC73" s="60">
        <f t="shared" si="65"/>
        <v>696.05040082532162</v>
      </c>
      <c r="CD73" s="60">
        <f ca="1">AVERAGE(OFFSET($CC$3,0,0,'Données projet'!$E$12+1,1))-AVERAGE(OFFSET($H$3,0,0,'Données projet'!$E$12+1,1))</f>
        <v>353.53401919391234</v>
      </c>
      <c r="CE73" s="60">
        <f t="shared" si="94"/>
        <v>244.7141066773861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242</v>
      </c>
      <c r="CR73" s="13">
        <f>VLOOKUP(A73,'Données projet'!$A$139:$I$159,9,0)</f>
        <v>6.8</v>
      </c>
      <c r="CS73" s="13">
        <f t="array" ref="CS73">INDEX(CR:CR,MIN(IF(ISNUMBER(CR73:CR269),ROW(CR73:CR269),"")))</f>
        <v>6.8</v>
      </c>
      <c r="CT73" s="13">
        <f>IF('Données projet'!$A$140&gt;35,CT72+CS73-DB72,IF(A73&lt;'Données projet'!$A$140,$CQ$205^A73,IF(A73='Données projet'!$A$140,'Données projet'!$B$140,CT72+CS73-DB72)))</f>
        <v>241.99999999999994</v>
      </c>
      <c r="CU73" s="18">
        <f>CT73*VLOOKUP('Données projet'!$B$13,Paramètres!$A$1:$I$89,3,0)*VLOOKUP('Données projet'!$B$13,Paramètres!$A$1:$I$89,5,0)</f>
        <v>203.86079999999998</v>
      </c>
      <c r="CV73" s="14">
        <f t="shared" si="95"/>
        <v>50.591708220421786</v>
      </c>
      <c r="CW73" s="22">
        <f t="shared" si="67"/>
        <v>443.17145181723458</v>
      </c>
      <c r="CX73" s="60">
        <f t="shared" si="68"/>
        <v>736.50478515056784</v>
      </c>
      <c r="CY73" s="60">
        <f ca="1">AVERAGE(OFFSET($CX$3,0,0,'Données projet'!$E$13+1,1))-AVERAGE(OFFSET($H$3,0,0,'Données projet'!$E$13+1,1))</f>
        <v>403.33327536410098</v>
      </c>
      <c r="CZ73" s="60">
        <f t="shared" si="96"/>
        <v>218.26721063098552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262.7</v>
      </c>
      <c r="DM73" s="13">
        <f>VLOOKUP(A73,'Données projet'!$A$165:$I$185,9,0)</f>
        <v>3.7599999999999909</v>
      </c>
      <c r="DN73" s="13">
        <f t="array" ref="DN73">INDEX(DM:DM,MIN(IF(ISNUMBER(DM73:DM269),ROW(DM73:DM269),"")))</f>
        <v>3.7599999999999909</v>
      </c>
      <c r="DO73" s="13">
        <f>IF('Données projet'!$A$166&gt;35,DO72+DN73-DW72,IF(A73&lt;'Données projet'!$A$166,$DL$205^A73,IF(A73='Données projet'!$A$166,'Données projet'!$B$166,DO72+DN73-DW72)))</f>
        <v>262.7000000000001</v>
      </c>
      <c r="DP73" s="18">
        <f>DO73*VLOOKUP('Données projet'!$B$14,Paramètres!$A$1:$I$89,3,0)*VLOOKUP('Données projet'!$B$14,Paramètres!$A$1:$I$89,5,0)</f>
        <v>209.00412000000011</v>
      </c>
      <c r="DQ73" s="14">
        <f t="shared" si="97"/>
        <v>51.717900691379995</v>
      </c>
      <c r="DR73" s="22">
        <f t="shared" si="70"/>
        <v>454.09085270415375</v>
      </c>
      <c r="DS73" s="60">
        <f t="shared" si="71"/>
        <v>747.42418603748706</v>
      </c>
      <c r="DT73" s="60">
        <f ca="1">AVERAGE(OFFSET($DS$3,0,0,'Données projet'!$E$14+1,1))-AVERAGE(OFFSET($H$3,0,0,'Données projet'!$E$14+1,1))</f>
        <v>317.13087551964747</v>
      </c>
      <c r="DU73" s="60">
        <f t="shared" si="98"/>
        <v>293.43300041793185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208.6</v>
      </c>
      <c r="EH73" s="13">
        <f>VLOOKUP(A73,'Données projet'!$A$191:$I$211,9,0)</f>
        <v>2.919999999999999</v>
      </c>
      <c r="EI73" s="13">
        <f t="array" ref="EI73">INDEX(EH:EH,MIN(IF(ISNUMBER(EH73:EH269),ROW(EH73:EH269),"")))</f>
        <v>2.919999999999999</v>
      </c>
      <c r="EJ73" s="13">
        <f>IF('Données projet'!$A$192&gt;35,EJ72+EI73-ER72,IF(A73&lt;'Données projet'!$A$192,$EG$205^A73,IF(A73='Données projet'!$A$192,'Données projet'!$B$192,EJ72+EI73-ER72)))</f>
        <v>208.60000000000008</v>
      </c>
      <c r="EK73" s="18">
        <f>EJ73*VLOOKUP('Données projet'!$B$15,Paramètres!$A$1:$I$89,3,0)*VLOOKUP('Données projet'!$B$15,Paramètres!$A$1:$I$89,5,0)</f>
        <v>165.96216000000007</v>
      </c>
      <c r="EL73" s="14">
        <f t="shared" si="99"/>
        <v>42.184420424142893</v>
      </c>
      <c r="EM73" s="22">
        <f t="shared" si="73"/>
        <v>362.52196090538229</v>
      </c>
      <c r="EN73" s="60">
        <f t="shared" si="74"/>
        <v>655.8552942387156</v>
      </c>
      <c r="EO73" s="60">
        <f ca="1">AVERAGE(OFFSET($EN$3,0,0,'Données projet'!$E$15+1,1))-AVERAGE(OFFSET($H$3,0,0,'Données projet'!$E$15+1,1))</f>
        <v>253.03289960511904</v>
      </c>
      <c r="EP73" s="60">
        <f t="shared" si="100"/>
        <v>236.85088713056018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208.6</v>
      </c>
      <c r="FC73" s="13">
        <f>VLOOKUP(A73,'Données projet'!$A$217:$I$237,9,0)</f>
        <v>2.919999999999999</v>
      </c>
      <c r="FD73" s="13">
        <f t="array" ref="FD73">INDEX(FC:FC,MIN(IF(ISNUMBER(FC73:FC269),ROW(FC73:FC269),"")))</f>
        <v>2.919999999999999</v>
      </c>
      <c r="FE73" s="13">
        <f>IF('Données projet'!$A$218&gt;35,FE72+FD73-FM72,IF(A73&lt;'Données projet'!$A$218,$FB$205^A73,IF(A73='Données projet'!$A$218,'Données projet'!$B$218,FE72+FD73-FM72)))</f>
        <v>208.60000000000008</v>
      </c>
      <c r="FF73" s="18">
        <f>FE73*VLOOKUP('Données projet'!$B$16,Paramètres!$A$1:$I$89,3,0)*VLOOKUP('Données projet'!$B$16,Paramètres!$A$1:$I$89,5,0)</f>
        <v>182.23296000000011</v>
      </c>
      <c r="FG73" s="14">
        <f t="shared" si="101"/>
        <v>45.818621592366334</v>
      </c>
      <c r="FH73" s="22">
        <f t="shared" si="76"/>
        <v>397.18983794003816</v>
      </c>
      <c r="FI73" s="60">
        <f t="shared" si="77"/>
        <v>690.52317127337142</v>
      </c>
      <c r="FJ73" s="60">
        <f ca="1">AVERAGE(OFFSET($FI$3,0,0,'Données projet'!$E$16+1,1))-AVERAGE(OFFSET($H$3,0,0,'Données projet'!$E$16+1,1))</f>
        <v>274.38315511766132</v>
      </c>
      <c r="FK73" s="60">
        <f t="shared" si="102"/>
        <v>255.96663040027175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12.555555555555555</v>
      </c>
      <c r="FZ73" s="13">
        <f>IF('Données projet'!$A$244&gt;35,FZ72+FY73-GH72,IF(A73&lt;'Données projet'!$A$244,$FW$205^A73,IF(A73='Données projet'!$A$244,'Données projet'!$B$244,FZ72+FY73-GH72)))</f>
        <v>286.55555555555532</v>
      </c>
      <c r="GA73" s="18">
        <f>FZ73*VLOOKUP('Données projet'!$B$17,Paramètres!$A$1:$I$89,3,0)*VLOOKUP('Données projet'!$B$17,Paramètres!$A$1:$I$89,5,0)</f>
        <v>245.86466666666649</v>
      </c>
      <c r="GB73" s="14">
        <f t="shared" si="103"/>
        <v>59.699563669987469</v>
      </c>
      <c r="GC73" s="22">
        <f t="shared" si="79"/>
        <v>532.19103450300565</v>
      </c>
      <c r="GD73" s="60">
        <f t="shared" si="80"/>
        <v>825.52436783633902</v>
      </c>
      <c r="GE73" s="60">
        <f ca="1">AVERAGE(OFFSET($GD$3,0,0,'Données projet'!$E$17+1,1))-AVERAGE(OFFSET($H$3,0,0,'Données projet'!$E$17+1,1))</f>
        <v>445.81166342116865</v>
      </c>
      <c r="GF73" s="60">
        <f t="shared" si="104"/>
        <v>230.82970731138215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5.6843418860808015E-14</v>
      </c>
      <c r="GV73" s="18">
        <f>GU73*VLOOKUP('Données projet'!$B$18,Paramètres!$A$1:$I$89,3,0)*VLOOKUP('Données projet'!$B$18,Paramètres!$A$1:$I$89,5,0)</f>
        <v>4.4337866711430253E-14</v>
      </c>
      <c r="GW73" s="14">
        <f t="shared" si="105"/>
        <v>7.3222115536967035E-13</v>
      </c>
      <c r="GX73" s="22">
        <f t="shared" si="82"/>
        <v>1.3525069634579169E-12</v>
      </c>
      <c r="GY73" s="60">
        <f t="shared" si="83"/>
        <v>293.33333333333468</v>
      </c>
      <c r="GZ73" s="60">
        <f ca="1">AVERAGE(OFFSET($GY$3,0,0,'Données projet'!$E$18+1,1))-AVERAGE(OFFSET($H$3,0,0,'Données projet'!$E$18+1,1))</f>
        <v>289.19475369871481</v>
      </c>
      <c r="HA73" s="60">
        <f t="shared" si="106"/>
        <v>283.48738729114024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projet'!$B$18,Paramètres!$A$1:$I$89,3,0)*0.475*44/12</f>
        <v>0</v>
      </c>
      <c r="HH73" s="23">
        <f>EXP(-LN(2)/25)*HH72+(1-EXP(-LN(2)/25))/(LN(2)/25)*Calculateur!HC73*Calculateur!HE73*VLOOKUP('Données projet'!$B$18,Paramètres!$A$1:$I$89,3,0)*0.475*44/12</f>
        <v>0</v>
      </c>
      <c r="HI73" s="23">
        <f>EXP(-LN(2)/2)*HI72+(1-EXP(-LN(2)/2))/(LN(2)/2)*HC73*HF73*VLOOKUP('Données projet'!$B$18,Paramètres!$A$1:$I$89,3,0)*0.475*44/12</f>
        <v>0</v>
      </c>
      <c r="HJ73" s="24">
        <f t="shared" si="84"/>
        <v>0</v>
      </c>
    </row>
    <row r="74" spans="1:218" s="5" customFormat="1" x14ac:dyDescent="0.3">
      <c r="A74" s="11">
        <f t="shared" si="85"/>
        <v>71</v>
      </c>
      <c r="B74" s="75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8">
        <f t="shared" si="56"/>
        <v>256.66666666666669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248.19999999999993</v>
      </c>
      <c r="O74" s="14">
        <f>N74*VLOOKUP('Données projet'!$B$9,Paramètres!$A$1:$I$89,3,0)*VLOOKUP('Données projet'!$B$9,Paramètres!$A$1:$I$89,5,0)</f>
        <v>240.05903999999995</v>
      </c>
      <c r="P74" s="14">
        <f t="shared" si="87"/>
        <v>58.452233043970431</v>
      </c>
      <c r="Q74" s="22">
        <f t="shared" si="54"/>
        <v>519.90713388491497</v>
      </c>
      <c r="R74" s="60">
        <f t="shared" si="55"/>
        <v>813.24046721824834</v>
      </c>
      <c r="S74" s="60">
        <f ca="1">AVERAGE(OFFSET($R$3,0,0,'Données projet'!$E$9+1,1))-AVERAGE(OFFSET($H$3,0,0,'Données projet'!$E$9+1,1))</f>
        <v>456.86147223520601</v>
      </c>
      <c r="T74" s="60">
        <f t="shared" si="88"/>
        <v>244.45149244446094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1.1499999999999999</v>
      </c>
      <c r="AI74" s="14">
        <f>IF('Données projet'!$A$62&gt;35,AI73+AH74-AQ73,IF(A74&lt;'Données projet'!$A$62,$AF$205^A74,IF(A74='Données projet'!$A$62,'Données projet'!$B$62,AI73+AH74-AQ73)))</f>
        <v>168.6500000000002</v>
      </c>
      <c r="AJ74" s="14">
        <f>AI74*VLOOKUP('Données projet'!$B$10,Paramètres!$A$1:$I$89,3,0)*VLOOKUP('Données projet'!$B$10,Paramètres!$A$1:$I$89,5,0)</f>
        <v>110.49948000000013</v>
      </c>
      <c r="AK74" s="14">
        <f t="shared" si="89"/>
        <v>29.448634909086362</v>
      </c>
      <c r="AL74" s="22">
        <f t="shared" si="58"/>
        <v>243.74296679999227</v>
      </c>
      <c r="AM74" s="60">
        <f t="shared" si="59"/>
        <v>537.07630013332562</v>
      </c>
      <c r="AN74" s="60">
        <f ca="1">AVERAGE(OFFSET($AM$3,0,0,'Données projet'!$E$10+1,1))-AVERAGE(OFFSET($H$3,0,0,'Données projet'!$E$10+1,1))</f>
        <v>170.79567854714986</v>
      </c>
      <c r="AO74" s="60">
        <f t="shared" si="90"/>
        <v>155.92788004111191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-1.1368683772161603E-13</v>
      </c>
      <c r="BE74" s="14">
        <f>BD74*VLOOKUP('Données projet'!$B$11,Paramètres!$A$1:$I$89,3,0)*VLOOKUP('Données projet'!$B$11,Paramètres!$A$1:$I$89,5,0)</f>
        <v>-9.2222762759774927E-14</v>
      </c>
      <c r="BF74" s="14" t="e">
        <f t="shared" si="91"/>
        <v>#NUM!</v>
      </c>
      <c r="BG74" s="22" t="e">
        <f t="shared" si="61"/>
        <v>#NUM!</v>
      </c>
      <c r="BH74" s="60" t="e">
        <f t="shared" si="62"/>
        <v>#NUM!</v>
      </c>
      <c r="BI74" s="60">
        <f ca="1">AVERAGE(OFFSET($BH$3,0,0,'Données projet'!$E$11+1,1))-AVERAGE(OFFSET($H$3,0,0,'Données projet'!$E$11+1,1))</f>
        <v>256.19915261735281</v>
      </c>
      <c r="BJ74" s="60">
        <f t="shared" si="92"/>
        <v>297.47246687305056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3.9743589743589722</v>
      </c>
      <c r="BY74" s="13">
        <f>IF('Données projet'!$A$114&gt;35,BY73+BX74-CG73,IF(A74&lt;'Données projet'!$A$114,$BV$205^A74,IF(A74='Données projet'!$A$114,'Données projet'!$B$114,BY73+BX74-CG73)))</f>
        <v>198.20512820512812</v>
      </c>
      <c r="BZ74" s="14">
        <f>BY74*VLOOKUP('Données projet'!$B$12,Paramètres!$A$1:$I$89,3,0)*VLOOKUP('Données projet'!$B$12,Paramètres!$A$1:$I$89,5,0)</f>
        <v>188.61199999999991</v>
      </c>
      <c r="CA74" s="14">
        <f t="shared" si="93"/>
        <v>47.232954932734806</v>
      </c>
      <c r="CB74" s="22">
        <f t="shared" si="64"/>
        <v>410.76329650784623</v>
      </c>
      <c r="CC74" s="60">
        <f t="shared" si="65"/>
        <v>704.09662984117949</v>
      </c>
      <c r="CD74" s="60">
        <f ca="1">AVERAGE(OFFSET($CC$3,0,0,'Données projet'!$E$12+1,1))-AVERAGE(OFFSET($H$3,0,0,'Données projet'!$E$12+1,1))</f>
        <v>353.53401919391234</v>
      </c>
      <c r="CE74" s="60">
        <f t="shared" si="94"/>
        <v>244.7141066773861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6.2</v>
      </c>
      <c r="CT74" s="13">
        <f>IF('Données projet'!$A$140&gt;35,CT73+CS74-DB73,IF(A74&lt;'Données projet'!$A$140,$CQ$205^A74,IF(A74='Données projet'!$A$140,'Données projet'!$B$140,CT73+CS74-DB73)))</f>
        <v>248.19999999999993</v>
      </c>
      <c r="CU74" s="18">
        <f>CT74*VLOOKUP('Données projet'!$B$13,Paramètres!$A$1:$I$89,3,0)*VLOOKUP('Données projet'!$B$13,Paramètres!$A$1:$I$89,5,0)</f>
        <v>209.08367999999996</v>
      </c>
      <c r="CV74" s="14">
        <f t="shared" si="95"/>
        <v>51.735295790267372</v>
      </c>
      <c r="CW74" s="22">
        <f t="shared" si="67"/>
        <v>454.25971616804895</v>
      </c>
      <c r="CX74" s="60">
        <f t="shared" si="68"/>
        <v>747.59304950138221</v>
      </c>
      <c r="CY74" s="60">
        <f ca="1">AVERAGE(OFFSET($CX$3,0,0,'Données projet'!$E$13+1,1))-AVERAGE(OFFSET($H$3,0,0,'Données projet'!$E$13+1,1))</f>
        <v>403.33327536410098</v>
      </c>
      <c r="CZ74" s="60">
        <f t="shared" si="96"/>
        <v>218.26721063098552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3.4000000000000115</v>
      </c>
      <c r="DO74" s="13">
        <f>IF('Données projet'!$A$166&gt;35,DO73+DN74-DW73,IF(A74&lt;'Données projet'!$A$166,$DL$205^A74,IF(A74='Données projet'!$A$166,'Données projet'!$B$166,DO73+DN74-DW73)))</f>
        <v>266.10000000000014</v>
      </c>
      <c r="DP74" s="18">
        <f>DO74*VLOOKUP('Données projet'!$B$14,Paramètres!$A$1:$I$89,3,0)*VLOOKUP('Données projet'!$B$14,Paramètres!$A$1:$I$89,5,0)</f>
        <v>211.70916000000011</v>
      </c>
      <c r="DQ74" s="14">
        <f t="shared" si="97"/>
        <v>52.308903776269439</v>
      </c>
      <c r="DR74" s="22">
        <f t="shared" si="70"/>
        <v>459.83146107700281</v>
      </c>
      <c r="DS74" s="60">
        <f t="shared" si="71"/>
        <v>753.16479441033607</v>
      </c>
      <c r="DT74" s="60">
        <f ca="1">AVERAGE(OFFSET($DS$3,0,0,'Données projet'!$E$14+1,1))-AVERAGE(OFFSET($H$3,0,0,'Données projet'!$E$14+1,1))</f>
        <v>317.13087551964747</v>
      </c>
      <c r="DU74" s="60">
        <f t="shared" si="98"/>
        <v>293.43300041793185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2.580000000000001</v>
      </c>
      <c r="EJ74" s="13">
        <f>IF('Données projet'!$A$192&gt;35,EJ73+EI74-ER73,IF(A74&lt;'Données projet'!$A$192,$EG$205^A74,IF(A74='Données projet'!$A$192,'Données projet'!$B$192,EJ73+EI74-ER73)))</f>
        <v>211.18000000000009</v>
      </c>
      <c r="EK74" s="18">
        <f>EJ74*VLOOKUP('Données projet'!$B$15,Paramètres!$A$1:$I$89,3,0)*VLOOKUP('Données projet'!$B$15,Paramètres!$A$1:$I$89,5,0)</f>
        <v>168.01480800000007</v>
      </c>
      <c r="EL74" s="14">
        <f t="shared" si="99"/>
        <v>42.645103116843636</v>
      </c>
      <c r="EM74" s="22">
        <f t="shared" si="73"/>
        <v>366.89934519516942</v>
      </c>
      <c r="EN74" s="60">
        <f t="shared" si="74"/>
        <v>660.23267852850267</v>
      </c>
      <c r="EO74" s="60">
        <f ca="1">AVERAGE(OFFSET($EN$3,0,0,'Données projet'!$E$15+1,1))-AVERAGE(OFFSET($H$3,0,0,'Données projet'!$E$15+1,1))</f>
        <v>253.03289960511904</v>
      </c>
      <c r="EP74" s="60">
        <f t="shared" si="100"/>
        <v>236.85088713056018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2.580000000000001</v>
      </c>
      <c r="FE74" s="13">
        <f>IF('Données projet'!$A$218&gt;35,FE73+FD74-FM73,IF(A74&lt;'Données projet'!$A$218,$FB$205^A74,IF(A74='Données projet'!$A$218,'Données projet'!$B$218,FE73+FD74-FM73)))</f>
        <v>211.18000000000009</v>
      </c>
      <c r="FF74" s="18">
        <f>FE74*VLOOKUP('Données projet'!$B$16,Paramètres!$A$1:$I$89,3,0)*VLOOKUP('Données projet'!$B$16,Paramètres!$A$1:$I$89,5,0)</f>
        <v>184.48684800000009</v>
      </c>
      <c r="FG74" s="14">
        <f t="shared" si="101"/>
        <v>46.318992244819988</v>
      </c>
      <c r="FH74" s="22">
        <f t="shared" si="76"/>
        <v>401.98683842639497</v>
      </c>
      <c r="FI74" s="60">
        <f t="shared" si="77"/>
        <v>695.32017175972828</v>
      </c>
      <c r="FJ74" s="60">
        <f ca="1">AVERAGE(OFFSET($FI$3,0,0,'Données projet'!$E$16+1,1))-AVERAGE(OFFSET($H$3,0,0,'Données projet'!$E$16+1,1))</f>
        <v>274.38315511766132</v>
      </c>
      <c r="FK74" s="60">
        <f t="shared" si="102"/>
        <v>255.96663040027175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12.555555555555555</v>
      </c>
      <c r="FZ74" s="13">
        <f>IF('Données projet'!$A$244&gt;35,FZ73+FY74-GH73,IF(A74&lt;'Données projet'!$A$244,$FW$205^A74,IF(A74='Données projet'!$A$244,'Données projet'!$B$244,FZ73+FY74-GH73)))</f>
        <v>299.11111111111086</v>
      </c>
      <c r="GA74" s="18">
        <f>FZ74*VLOOKUP('Données projet'!$B$17,Paramètres!$A$1:$I$89,3,0)*VLOOKUP('Données projet'!$B$17,Paramètres!$A$1:$I$89,5,0)</f>
        <v>256.63733333333312</v>
      </c>
      <c r="GB74" s="14">
        <f t="shared" si="103"/>
        <v>62.005051158458208</v>
      </c>
      <c r="GC74" s="22">
        <f t="shared" si="79"/>
        <v>554.96881965653654</v>
      </c>
      <c r="GD74" s="60">
        <f t="shared" si="80"/>
        <v>848.30215298986991</v>
      </c>
      <c r="GE74" s="60">
        <f ca="1">AVERAGE(OFFSET($GD$3,0,0,'Données projet'!$E$17+1,1))-AVERAGE(OFFSET($H$3,0,0,'Données projet'!$E$17+1,1))</f>
        <v>445.81166342116865</v>
      </c>
      <c r="GF74" s="60">
        <f t="shared" si="104"/>
        <v>230.82970731138215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5.6843418860808015E-14</v>
      </c>
      <c r="GV74" s="18">
        <f>GU74*VLOOKUP('Données projet'!$B$18,Paramètres!$A$1:$I$89,3,0)*VLOOKUP('Données projet'!$B$18,Paramètres!$A$1:$I$89,5,0)</f>
        <v>4.4337866711430253E-14</v>
      </c>
      <c r="GW74" s="14">
        <f t="shared" si="105"/>
        <v>7.3222115536967035E-13</v>
      </c>
      <c r="GX74" s="22">
        <f t="shared" si="82"/>
        <v>1.3525069634579169E-12</v>
      </c>
      <c r="GY74" s="60">
        <f t="shared" si="83"/>
        <v>293.33333333333468</v>
      </c>
      <c r="GZ74" s="60">
        <f ca="1">AVERAGE(OFFSET($GY$3,0,0,'Données projet'!$E$18+1,1))-AVERAGE(OFFSET($H$3,0,0,'Données projet'!$E$18+1,1))</f>
        <v>289.19475369871481</v>
      </c>
      <c r="HA74" s="60">
        <f t="shared" si="106"/>
        <v>283.48738729114024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projet'!$B$18,Paramètres!$A$1:$I$89,3,0)*0.475*44/12</f>
        <v>0</v>
      </c>
      <c r="HH74" s="23">
        <f>EXP(-LN(2)/25)*HH73+(1-EXP(-LN(2)/25))/(LN(2)/25)*Calculateur!HC74*Calculateur!HE74*VLOOKUP('Données projet'!$B$18,Paramètres!$A$1:$I$89,3,0)*0.475*44/12</f>
        <v>0</v>
      </c>
      <c r="HI74" s="23">
        <f>EXP(-LN(2)/2)*HI73+(1-EXP(-LN(2)/2))/(LN(2)/2)*HC74*HF74*VLOOKUP('Données projet'!$B$18,Paramètres!$A$1:$I$89,3,0)*0.475*44/12</f>
        <v>0</v>
      </c>
      <c r="HJ74" s="24">
        <f t="shared" si="84"/>
        <v>0</v>
      </c>
    </row>
    <row r="75" spans="1:218" s="5" customFormat="1" x14ac:dyDescent="0.3">
      <c r="A75" s="11">
        <f t="shared" si="85"/>
        <v>72</v>
      </c>
      <c r="B75" s="75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8">
        <f t="shared" si="56"/>
        <v>256.66666666666669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254.39999999999992</v>
      </c>
      <c r="O75" s="14">
        <f>N75*VLOOKUP('Données projet'!$B$9,Paramètres!$A$1:$I$89,3,0)*VLOOKUP('Données projet'!$B$9,Paramètres!$A$1:$I$89,5,0)</f>
        <v>246.05567999999994</v>
      </c>
      <c r="P75" s="14">
        <f t="shared" si="87"/>
        <v>59.740543938088187</v>
      </c>
      <c r="Q75" s="22">
        <f t="shared" si="54"/>
        <v>532.59509002550351</v>
      </c>
      <c r="R75" s="60">
        <f t="shared" si="55"/>
        <v>825.92842335883688</v>
      </c>
      <c r="S75" s="60">
        <f ca="1">AVERAGE(OFFSET($R$3,0,0,'Données projet'!$E$9+1,1))-AVERAGE(OFFSET($H$3,0,0,'Données projet'!$E$9+1,1))</f>
        <v>456.86147223520601</v>
      </c>
      <c r="T75" s="60">
        <f t="shared" si="88"/>
        <v>244.45149244446094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1.1499999999999999</v>
      </c>
      <c r="AI75" s="14">
        <f>IF('Données projet'!$A$62&gt;35,AI74+AH75-AQ74,IF(A75&lt;'Données projet'!$A$62,$AF$205^A75,IF(A75='Données projet'!$A$62,'Données projet'!$B$62,AI74+AH75-AQ74)))</f>
        <v>169.80000000000021</v>
      </c>
      <c r="AJ75" s="14">
        <f>AI75*VLOOKUP('Données projet'!$B$10,Paramètres!$A$1:$I$89,3,0)*VLOOKUP('Données projet'!$B$10,Paramètres!$A$1:$I$89,5,0)</f>
        <v>111.25296000000014</v>
      </c>
      <c r="AK75" s="14">
        <f t="shared" si="89"/>
        <v>29.625996844262218</v>
      </c>
      <c r="AL75" s="22">
        <f t="shared" si="58"/>
        <v>245.36418317042356</v>
      </c>
      <c r="AM75" s="60">
        <f t="shared" si="59"/>
        <v>538.6975165037569</v>
      </c>
      <c r="AN75" s="60">
        <f ca="1">AVERAGE(OFFSET($AM$3,0,0,'Données projet'!$E$10+1,1))-AVERAGE(OFFSET($H$3,0,0,'Données projet'!$E$10+1,1))</f>
        <v>170.79567854714986</v>
      </c>
      <c r="AO75" s="60">
        <f t="shared" si="90"/>
        <v>155.92788004111191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-1.1368683772161603E-13</v>
      </c>
      <c r="BE75" s="14">
        <f>BD75*VLOOKUP('Données projet'!$B$11,Paramètres!$A$1:$I$89,3,0)*VLOOKUP('Données projet'!$B$11,Paramètres!$A$1:$I$89,5,0)</f>
        <v>-9.2222762759774927E-14</v>
      </c>
      <c r="BF75" s="14" t="e">
        <f t="shared" si="91"/>
        <v>#NUM!</v>
      </c>
      <c r="BG75" s="22" t="e">
        <f t="shared" si="61"/>
        <v>#NUM!</v>
      </c>
      <c r="BH75" s="60" t="e">
        <f t="shared" si="62"/>
        <v>#NUM!</v>
      </c>
      <c r="BI75" s="60">
        <f ca="1">AVERAGE(OFFSET($BH$3,0,0,'Données projet'!$E$11+1,1))-AVERAGE(OFFSET($H$3,0,0,'Données projet'!$E$11+1,1))</f>
        <v>256.19915261735281</v>
      </c>
      <c r="BJ75" s="60">
        <f t="shared" si="92"/>
        <v>297.47246687305056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3.9743589743589722</v>
      </c>
      <c r="BY75" s="13">
        <f>IF('Données projet'!$A$114&gt;35,BY74+BX75-CG74,IF(A75&lt;'Données projet'!$A$114,$BV$205^A75,IF(A75='Données projet'!$A$114,'Données projet'!$B$114,BY74+BX75-CG74)))</f>
        <v>202.1794871794871</v>
      </c>
      <c r="BZ75" s="14">
        <f>BY75*VLOOKUP('Données projet'!$B$12,Paramètres!$A$1:$I$89,3,0)*VLOOKUP('Données projet'!$B$12,Paramètres!$A$1:$I$89,5,0)</f>
        <v>192.39399999999992</v>
      </c>
      <c r="CA75" s="14">
        <f t="shared" si="93"/>
        <v>48.06884593738954</v>
      </c>
      <c r="CB75" s="22">
        <f t="shared" si="64"/>
        <v>418.80612334095326</v>
      </c>
      <c r="CC75" s="60">
        <f t="shared" si="65"/>
        <v>712.13945667428652</v>
      </c>
      <c r="CD75" s="60">
        <f ca="1">AVERAGE(OFFSET($CC$3,0,0,'Données projet'!$E$12+1,1))-AVERAGE(OFFSET($H$3,0,0,'Données projet'!$E$12+1,1))</f>
        <v>353.53401919391234</v>
      </c>
      <c r="CE75" s="60">
        <f t="shared" si="94"/>
        <v>244.7141066773861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6.2</v>
      </c>
      <c r="CT75" s="13">
        <f>IF('Données projet'!$A$140&gt;35,CT74+CS75-DB74,IF(A75&lt;'Données projet'!$A$140,$CQ$205^A75,IF(A75='Données projet'!$A$140,'Données projet'!$B$140,CT74+CS75-DB74)))</f>
        <v>254.39999999999992</v>
      </c>
      <c r="CU75" s="18">
        <f>CT75*VLOOKUP('Données projet'!$B$13,Paramètres!$A$1:$I$89,3,0)*VLOOKUP('Données projet'!$B$13,Paramètres!$A$1:$I$89,5,0)</f>
        <v>214.30655999999996</v>
      </c>
      <c r="CV75" s="14">
        <f t="shared" si="95"/>
        <v>52.875562666416783</v>
      </c>
      <c r="CW75" s="22">
        <f t="shared" si="67"/>
        <v>465.34219697734244</v>
      </c>
      <c r="CX75" s="60">
        <f t="shared" si="68"/>
        <v>758.67553031067575</v>
      </c>
      <c r="CY75" s="60">
        <f ca="1">AVERAGE(OFFSET($CX$3,0,0,'Données projet'!$E$13+1,1))-AVERAGE(OFFSET($H$3,0,0,'Données projet'!$E$13+1,1))</f>
        <v>403.33327536410098</v>
      </c>
      <c r="CZ75" s="60">
        <f t="shared" si="96"/>
        <v>218.26721063098552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3.4000000000000115</v>
      </c>
      <c r="DO75" s="13">
        <f>IF('Données projet'!$A$166&gt;35,DO74+DN75-DW74,IF(A75&lt;'Données projet'!$A$166,$DL$205^A75,IF(A75='Données projet'!$A$166,'Données projet'!$B$166,DO74+DN75-DW74)))</f>
        <v>269.50000000000017</v>
      </c>
      <c r="DP75" s="18">
        <f>DO75*VLOOKUP('Données projet'!$B$14,Paramètres!$A$1:$I$89,3,0)*VLOOKUP('Données projet'!$B$14,Paramètres!$A$1:$I$89,5,0)</f>
        <v>214.41420000000014</v>
      </c>
      <c r="DQ75" s="14">
        <f t="shared" si="97"/>
        <v>52.899028513694205</v>
      </c>
      <c r="DR75" s="22">
        <f t="shared" si="70"/>
        <v>465.57053966135101</v>
      </c>
      <c r="DS75" s="60">
        <f t="shared" si="71"/>
        <v>758.90387299468432</v>
      </c>
      <c r="DT75" s="60">
        <f ca="1">AVERAGE(OFFSET($DS$3,0,0,'Données projet'!$E$14+1,1))-AVERAGE(OFFSET($H$3,0,0,'Données projet'!$E$14+1,1))</f>
        <v>317.13087551964747</v>
      </c>
      <c r="DU75" s="60">
        <f t="shared" si="98"/>
        <v>293.43300041793185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2.580000000000001</v>
      </c>
      <c r="EJ75" s="13">
        <f>IF('Données projet'!$A$192&gt;35,EJ74+EI75-ER74,IF(A75&lt;'Données projet'!$A$192,$EG$205^A75,IF(A75='Données projet'!$A$192,'Données projet'!$B$192,EJ74+EI75-ER74)))</f>
        <v>213.7600000000001</v>
      </c>
      <c r="EK75" s="18">
        <f>EJ75*VLOOKUP('Données projet'!$B$15,Paramètres!$A$1:$I$89,3,0)*VLOOKUP('Données projet'!$B$15,Paramètres!$A$1:$I$89,5,0)</f>
        <v>170.06745600000011</v>
      </c>
      <c r="EL75" s="14">
        <f t="shared" si="99"/>
        <v>43.105131136497967</v>
      </c>
      <c r="EM75" s="22">
        <f t="shared" si="73"/>
        <v>371.27558926273406</v>
      </c>
      <c r="EN75" s="60">
        <f t="shared" si="74"/>
        <v>664.60892259606737</v>
      </c>
      <c r="EO75" s="60">
        <f ca="1">AVERAGE(OFFSET($EN$3,0,0,'Données projet'!$E$15+1,1))-AVERAGE(OFFSET($H$3,0,0,'Données projet'!$E$15+1,1))</f>
        <v>253.03289960511904</v>
      </c>
      <c r="EP75" s="60">
        <f t="shared" si="100"/>
        <v>236.85088713056018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2.580000000000001</v>
      </c>
      <c r="FE75" s="13">
        <f>IF('Données projet'!$A$218&gt;35,FE74+FD75-FM74,IF(A75&lt;'Données projet'!$A$218,$FB$205^A75,IF(A75='Données projet'!$A$218,'Données projet'!$B$218,FE74+FD75-FM74)))</f>
        <v>213.7600000000001</v>
      </c>
      <c r="FF75" s="18">
        <f>FE75*VLOOKUP('Données projet'!$B$16,Paramètres!$A$1:$I$89,3,0)*VLOOKUP('Données projet'!$B$16,Paramètres!$A$1:$I$89,5,0)</f>
        <v>186.74073600000011</v>
      </c>
      <c r="FG75" s="14">
        <f t="shared" si="101"/>
        <v>46.818651823937124</v>
      </c>
      <c r="FH75" s="22">
        <f t="shared" si="76"/>
        <v>406.78260046002401</v>
      </c>
      <c r="FI75" s="60">
        <f t="shared" si="77"/>
        <v>700.11593379335727</v>
      </c>
      <c r="FJ75" s="60">
        <f ca="1">AVERAGE(OFFSET($FI$3,0,0,'Données projet'!$E$16+1,1))-AVERAGE(OFFSET($H$3,0,0,'Données projet'!$E$16+1,1))</f>
        <v>274.38315511766132</v>
      </c>
      <c r="FK75" s="60">
        <f t="shared" si="102"/>
        <v>255.96663040027175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12.555555555555555</v>
      </c>
      <c r="FZ75" s="13">
        <f>IF('Données projet'!$A$244&gt;35,FZ74+FY75-GH74,IF(A75&lt;'Données projet'!$A$244,$FW$205^A75,IF(A75='Données projet'!$A$244,'Données projet'!$B$244,FZ74+FY75-GH74)))</f>
        <v>311.6666666666664</v>
      </c>
      <c r="GA75" s="18">
        <f>FZ75*VLOOKUP('Données projet'!$B$17,Paramètres!$A$1:$I$89,3,0)*VLOOKUP('Données projet'!$B$17,Paramètres!$A$1:$I$89,5,0)</f>
        <v>267.4099999999998</v>
      </c>
      <c r="GB75" s="14">
        <f t="shared" si="103"/>
        <v>64.299297948636735</v>
      </c>
      <c r="GC75" s="22">
        <f t="shared" si="79"/>
        <v>577.72702726054183</v>
      </c>
      <c r="GD75" s="60">
        <f t="shared" si="80"/>
        <v>871.0603605938752</v>
      </c>
      <c r="GE75" s="60">
        <f ca="1">AVERAGE(OFFSET($GD$3,0,0,'Données projet'!$E$17+1,1))-AVERAGE(OFFSET($H$3,0,0,'Données projet'!$E$17+1,1))</f>
        <v>445.81166342116865</v>
      </c>
      <c r="GF75" s="60">
        <f t="shared" si="104"/>
        <v>230.82970731138215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5.6843418860808015E-14</v>
      </c>
      <c r="GV75" s="18">
        <f>GU75*VLOOKUP('Données projet'!$B$18,Paramètres!$A$1:$I$89,3,0)*VLOOKUP('Données projet'!$B$18,Paramètres!$A$1:$I$89,5,0)</f>
        <v>4.4337866711430253E-14</v>
      </c>
      <c r="GW75" s="14">
        <f t="shared" si="105"/>
        <v>7.3222115536967035E-13</v>
      </c>
      <c r="GX75" s="22">
        <f t="shared" si="82"/>
        <v>1.3525069634579169E-12</v>
      </c>
      <c r="GY75" s="60">
        <f t="shared" si="83"/>
        <v>293.33333333333468</v>
      </c>
      <c r="GZ75" s="60">
        <f ca="1">AVERAGE(OFFSET($GY$3,0,0,'Données projet'!$E$18+1,1))-AVERAGE(OFFSET($H$3,0,0,'Données projet'!$E$18+1,1))</f>
        <v>289.19475369871481</v>
      </c>
      <c r="HA75" s="60">
        <f t="shared" si="106"/>
        <v>283.48738729114024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projet'!$B$18,Paramètres!$A$1:$I$89,3,0)*0.475*44/12</f>
        <v>0</v>
      </c>
      <c r="HH75" s="23">
        <f>EXP(-LN(2)/25)*HH74+(1-EXP(-LN(2)/25))/(LN(2)/25)*Calculateur!HC75*Calculateur!HE75*VLOOKUP('Données projet'!$B$18,Paramètres!$A$1:$I$89,3,0)*0.475*44/12</f>
        <v>0</v>
      </c>
      <c r="HI75" s="23">
        <f>EXP(-LN(2)/2)*HI74+(1-EXP(-LN(2)/2))/(LN(2)/2)*HC75*HF75*VLOOKUP('Données projet'!$B$18,Paramètres!$A$1:$I$89,3,0)*0.475*44/12</f>
        <v>0</v>
      </c>
      <c r="HJ75" s="24">
        <f t="shared" si="84"/>
        <v>0</v>
      </c>
    </row>
    <row r="76" spans="1:218" s="5" customFormat="1" x14ac:dyDescent="0.3">
      <c r="A76" s="11">
        <f t="shared" si="85"/>
        <v>73</v>
      </c>
      <c r="B76" s="75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8">
        <f t="shared" si="56"/>
        <v>256.66666666666669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260.59999999999991</v>
      </c>
      <c r="O76" s="14">
        <f>N76*VLOOKUP('Données projet'!$B$9,Paramètres!$A$1:$I$89,3,0)*VLOOKUP('Données projet'!$B$9,Paramètres!$A$1:$I$89,5,0)</f>
        <v>252.05231999999992</v>
      </c>
      <c r="P76" s="14">
        <f t="shared" si="87"/>
        <v>61.025204958609983</v>
      </c>
      <c r="Q76" s="22">
        <f t="shared" si="54"/>
        <v>545.27668930291225</v>
      </c>
      <c r="R76" s="60">
        <f t="shared" si="55"/>
        <v>838.6100226362455</v>
      </c>
      <c r="S76" s="60">
        <f ca="1">AVERAGE(OFFSET($R$3,0,0,'Données projet'!$E$9+1,1))-AVERAGE(OFFSET($H$3,0,0,'Données projet'!$E$9+1,1))</f>
        <v>456.86147223520601</v>
      </c>
      <c r="T76" s="60">
        <f t="shared" si="88"/>
        <v>244.45149244446094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1.1499999999999999</v>
      </c>
      <c r="AI76" s="14">
        <f>IF('Données projet'!$A$62&gt;35,AI75+AH76-AQ75,IF(A76&lt;'Données projet'!$A$62,$AF$205^A76,IF(A76='Données projet'!$A$62,'Données projet'!$B$62,AI75+AH76-AQ75)))</f>
        <v>170.95000000000022</v>
      </c>
      <c r="AJ76" s="14">
        <f>AI76*VLOOKUP('Données projet'!$B$10,Paramètres!$A$1:$I$89,3,0)*VLOOKUP('Données projet'!$B$10,Paramètres!$A$1:$I$89,5,0)</f>
        <v>112.00644000000015</v>
      </c>
      <c r="AK76" s="14">
        <f t="shared" si="89"/>
        <v>29.803219012036596</v>
      </c>
      <c r="AL76" s="22">
        <f t="shared" si="58"/>
        <v>246.98515611263065</v>
      </c>
      <c r="AM76" s="60">
        <f t="shared" si="59"/>
        <v>540.31848944596391</v>
      </c>
      <c r="AN76" s="60">
        <f ca="1">AVERAGE(OFFSET($AM$3,0,0,'Données projet'!$E$10+1,1))-AVERAGE(OFFSET($H$3,0,0,'Données projet'!$E$10+1,1))</f>
        <v>170.79567854714986</v>
      </c>
      <c r="AO76" s="60">
        <f t="shared" si="90"/>
        <v>155.92788004111191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-1.1368683772161603E-13</v>
      </c>
      <c r="BE76" s="14">
        <f>BD76*VLOOKUP('Données projet'!$B$11,Paramètres!$A$1:$I$89,3,0)*VLOOKUP('Données projet'!$B$11,Paramètres!$A$1:$I$89,5,0)</f>
        <v>-9.2222762759774927E-14</v>
      </c>
      <c r="BF76" s="14" t="e">
        <f t="shared" si="91"/>
        <v>#NUM!</v>
      </c>
      <c r="BG76" s="22" t="e">
        <f t="shared" si="61"/>
        <v>#NUM!</v>
      </c>
      <c r="BH76" s="60" t="e">
        <f t="shared" si="62"/>
        <v>#NUM!</v>
      </c>
      <c r="BI76" s="60">
        <f ca="1">AVERAGE(OFFSET($BH$3,0,0,'Données projet'!$E$11+1,1))-AVERAGE(OFFSET($H$3,0,0,'Données projet'!$E$11+1,1))</f>
        <v>256.19915261735281</v>
      </c>
      <c r="BJ76" s="60">
        <f t="shared" si="92"/>
        <v>297.47246687305056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3.9743589743589722</v>
      </c>
      <c r="BY76" s="13">
        <f>IF('Données projet'!$A$114&gt;35,BY75+BX76-CG75,IF(A76&lt;'Données projet'!$A$114,$BV$205^A76,IF(A76='Données projet'!$A$114,'Données projet'!$B$114,BY75+BX76-CG75)))</f>
        <v>206.15384615384608</v>
      </c>
      <c r="BZ76" s="14">
        <f>BY76*VLOOKUP('Données projet'!$B$12,Paramètres!$A$1:$I$89,3,0)*VLOOKUP('Données projet'!$B$12,Paramètres!$A$1:$I$89,5,0)</f>
        <v>196.17599999999993</v>
      </c>
      <c r="CA76" s="14">
        <f t="shared" si="93"/>
        <v>48.902826361146467</v>
      </c>
      <c r="CB76" s="22">
        <f t="shared" si="64"/>
        <v>426.84562257899665</v>
      </c>
      <c r="CC76" s="60">
        <f t="shared" si="65"/>
        <v>720.17895591232991</v>
      </c>
      <c r="CD76" s="60">
        <f ca="1">AVERAGE(OFFSET($CC$3,0,0,'Données projet'!$E$12+1,1))-AVERAGE(OFFSET($H$3,0,0,'Données projet'!$E$12+1,1))</f>
        <v>353.53401919391234</v>
      </c>
      <c r="CE76" s="60">
        <f t="shared" si="94"/>
        <v>244.7141066773861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6.2</v>
      </c>
      <c r="CT76" s="13">
        <f>IF('Données projet'!$A$140&gt;35,CT75+CS76-DB75,IF(A76&lt;'Données projet'!$A$140,$CQ$205^A76,IF(A76='Données projet'!$A$140,'Données projet'!$B$140,CT75+CS76-DB75)))</f>
        <v>260.59999999999991</v>
      </c>
      <c r="CU76" s="18">
        <f>CT76*VLOOKUP('Données projet'!$B$13,Paramètres!$A$1:$I$89,3,0)*VLOOKUP('Données projet'!$B$13,Paramètres!$A$1:$I$89,5,0)</f>
        <v>219.52943999999994</v>
      </c>
      <c r="CV76" s="14">
        <f t="shared" si="95"/>
        <v>54.012599087881227</v>
      </c>
      <c r="CW76" s="22">
        <f t="shared" si="67"/>
        <v>476.41905141139301</v>
      </c>
      <c r="CX76" s="60">
        <f t="shared" si="68"/>
        <v>769.75238474472633</v>
      </c>
      <c r="CY76" s="60">
        <f ca="1">AVERAGE(OFFSET($CX$3,0,0,'Données projet'!$E$13+1,1))-AVERAGE(OFFSET($H$3,0,0,'Données projet'!$E$13+1,1))</f>
        <v>403.33327536410098</v>
      </c>
      <c r="CZ76" s="60">
        <f t="shared" si="96"/>
        <v>218.26721063098552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3.4000000000000115</v>
      </c>
      <c r="DO76" s="13">
        <f>IF('Données projet'!$A$166&gt;35,DO75+DN76-DW75,IF(A76&lt;'Données projet'!$A$166,$DL$205^A76,IF(A76='Données projet'!$A$166,'Données projet'!$B$166,DO75+DN76-DW75)))</f>
        <v>272.9000000000002</v>
      </c>
      <c r="DP76" s="18">
        <f>DO76*VLOOKUP('Données projet'!$B$14,Paramètres!$A$1:$I$89,3,0)*VLOOKUP('Données projet'!$B$14,Paramètres!$A$1:$I$89,5,0)</f>
        <v>217.11924000000019</v>
      </c>
      <c r="DQ76" s="14">
        <f t="shared" si="97"/>
        <v>53.488287266278149</v>
      </c>
      <c r="DR76" s="22">
        <f t="shared" si="70"/>
        <v>471.30810998876814</v>
      </c>
      <c r="DS76" s="60">
        <f t="shared" si="71"/>
        <v>764.6414433221014</v>
      </c>
      <c r="DT76" s="60">
        <f ca="1">AVERAGE(OFFSET($DS$3,0,0,'Données projet'!$E$14+1,1))-AVERAGE(OFFSET($H$3,0,0,'Données projet'!$E$14+1,1))</f>
        <v>317.13087551964747</v>
      </c>
      <c r="DU76" s="60">
        <f t="shared" si="98"/>
        <v>293.43300041793185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2.580000000000001</v>
      </c>
      <c r="EJ76" s="13">
        <f>IF('Données projet'!$A$192&gt;35,EJ75+EI76-ER75,IF(A76&lt;'Données projet'!$A$192,$EG$205^A76,IF(A76='Données projet'!$A$192,'Données projet'!$B$192,EJ75+EI76-ER75)))</f>
        <v>216.34000000000012</v>
      </c>
      <c r="EK76" s="18">
        <f>EJ76*VLOOKUP('Données projet'!$B$15,Paramètres!$A$1:$I$89,3,0)*VLOOKUP('Données projet'!$B$15,Paramètres!$A$1:$I$89,5,0)</f>
        <v>172.12010400000011</v>
      </c>
      <c r="EL76" s="14">
        <f t="shared" si="99"/>
        <v>43.564513298743357</v>
      </c>
      <c r="EM76" s="22">
        <f t="shared" si="73"/>
        <v>375.65070846197818</v>
      </c>
      <c r="EN76" s="60">
        <f t="shared" si="74"/>
        <v>668.98404179531144</v>
      </c>
      <c r="EO76" s="60">
        <f ca="1">AVERAGE(OFFSET($EN$3,0,0,'Données projet'!$E$15+1,1))-AVERAGE(OFFSET($H$3,0,0,'Données projet'!$E$15+1,1))</f>
        <v>253.03289960511904</v>
      </c>
      <c r="EP76" s="60">
        <f t="shared" si="100"/>
        <v>236.85088713056018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2.580000000000001</v>
      </c>
      <c r="FE76" s="13">
        <f>IF('Données projet'!$A$218&gt;35,FE75+FD76-FM75,IF(A76&lt;'Données projet'!$A$218,$FB$205^A76,IF(A76='Données projet'!$A$218,'Données projet'!$B$218,FE75+FD76-FM75)))</f>
        <v>216.34000000000012</v>
      </c>
      <c r="FF76" s="18">
        <f>FE76*VLOOKUP('Données projet'!$B$16,Paramètres!$A$1:$I$89,3,0)*VLOOKUP('Données projet'!$B$16,Paramètres!$A$1:$I$89,5,0)</f>
        <v>188.99462400000013</v>
      </c>
      <c r="FG76" s="14">
        <f t="shared" si="101"/>
        <v>47.317609904825161</v>
      </c>
      <c r="FH76" s="22">
        <f t="shared" si="76"/>
        <v>411.57714071757073</v>
      </c>
      <c r="FI76" s="60">
        <f t="shared" si="77"/>
        <v>704.91047405090399</v>
      </c>
      <c r="FJ76" s="60">
        <f ca="1">AVERAGE(OFFSET($FI$3,0,0,'Données projet'!$E$16+1,1))-AVERAGE(OFFSET($H$3,0,0,'Données projet'!$E$16+1,1))</f>
        <v>274.38315511766132</v>
      </c>
      <c r="FK76" s="60">
        <f t="shared" si="102"/>
        <v>255.96663040027175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12.555555555555555</v>
      </c>
      <c r="FZ76" s="13">
        <f>IF('Données projet'!$A$244&gt;35,FZ75+FY76-GH75,IF(A76&lt;'Données projet'!$A$244,$FW$205^A76,IF(A76='Données projet'!$A$244,'Données projet'!$B$244,FZ75+FY76-GH75)))</f>
        <v>324.22222222222194</v>
      </c>
      <c r="GA76" s="18">
        <f>FZ76*VLOOKUP('Données projet'!$B$17,Paramètres!$A$1:$I$89,3,0)*VLOOKUP('Données projet'!$B$17,Paramètres!$A$1:$I$89,5,0)</f>
        <v>278.18266666666648</v>
      </c>
      <c r="GB76" s="14">
        <f t="shared" si="103"/>
        <v>66.582808678967709</v>
      </c>
      <c r="GC76" s="22">
        <f t="shared" si="79"/>
        <v>600.46653622697943</v>
      </c>
      <c r="GD76" s="60">
        <f t="shared" si="80"/>
        <v>893.7998695603128</v>
      </c>
      <c r="GE76" s="60">
        <f ca="1">AVERAGE(OFFSET($GD$3,0,0,'Données projet'!$E$17+1,1))-AVERAGE(OFFSET($H$3,0,0,'Données projet'!$E$17+1,1))</f>
        <v>445.81166342116865</v>
      </c>
      <c r="GF76" s="60">
        <f t="shared" si="104"/>
        <v>230.82970731138215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5.6843418860808015E-14</v>
      </c>
      <c r="GV76" s="18">
        <f>GU76*VLOOKUP('Données projet'!$B$18,Paramètres!$A$1:$I$89,3,0)*VLOOKUP('Données projet'!$B$18,Paramètres!$A$1:$I$89,5,0)</f>
        <v>4.4337866711430253E-14</v>
      </c>
      <c r="GW76" s="14">
        <f t="shared" si="105"/>
        <v>7.3222115536967035E-13</v>
      </c>
      <c r="GX76" s="22">
        <f t="shared" si="82"/>
        <v>1.3525069634579169E-12</v>
      </c>
      <c r="GY76" s="60">
        <f t="shared" si="83"/>
        <v>293.33333333333468</v>
      </c>
      <c r="GZ76" s="60">
        <f ca="1">AVERAGE(OFFSET($GY$3,0,0,'Données projet'!$E$18+1,1))-AVERAGE(OFFSET($H$3,0,0,'Données projet'!$E$18+1,1))</f>
        <v>289.19475369871481</v>
      </c>
      <c r="HA76" s="60">
        <f t="shared" si="106"/>
        <v>283.48738729114024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projet'!$B$18,Paramètres!$A$1:$I$89,3,0)*0.475*44/12</f>
        <v>0</v>
      </c>
      <c r="HH76" s="23">
        <f>EXP(-LN(2)/25)*HH75+(1-EXP(-LN(2)/25))/(LN(2)/25)*Calculateur!HC76*Calculateur!HE76*VLOOKUP('Données projet'!$B$18,Paramètres!$A$1:$I$89,3,0)*0.475*44/12</f>
        <v>0</v>
      </c>
      <c r="HI76" s="23">
        <f>EXP(-LN(2)/2)*HI75+(1-EXP(-LN(2)/2))/(LN(2)/2)*HC76*HF76*VLOOKUP('Données projet'!$B$18,Paramètres!$A$1:$I$89,3,0)*0.475*44/12</f>
        <v>0</v>
      </c>
      <c r="HJ76" s="24">
        <f t="shared" si="84"/>
        <v>0</v>
      </c>
    </row>
    <row r="77" spans="1:218" s="5" customFormat="1" x14ac:dyDescent="0.3">
      <c r="A77" s="11">
        <f t="shared" si="85"/>
        <v>74</v>
      </c>
      <c r="B77" s="75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8">
        <f t="shared" si="56"/>
        <v>256.66666666666669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266.7999999999999</v>
      </c>
      <c r="O77" s="14">
        <f>N77*VLOOKUP('Données projet'!$B$9,Paramètres!$A$1:$I$89,3,0)*VLOOKUP('Données projet'!$B$9,Paramètres!$A$1:$I$89,5,0)</f>
        <v>258.04895999999991</v>
      </c>
      <c r="P77" s="14">
        <f t="shared" si="87"/>
        <v>62.306312932555763</v>
      </c>
      <c r="Q77" s="22">
        <f t="shared" si="54"/>
        <v>557.95210035753439</v>
      </c>
      <c r="R77" s="60">
        <f t="shared" si="55"/>
        <v>851.28543369086765</v>
      </c>
      <c r="S77" s="60">
        <f ca="1">AVERAGE(OFFSET($R$3,0,0,'Données projet'!$E$9+1,1))-AVERAGE(OFFSET($H$3,0,0,'Données projet'!$E$9+1,1))</f>
        <v>456.86147223520601</v>
      </c>
      <c r="T77" s="60">
        <f t="shared" si="88"/>
        <v>244.45149244446094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1.1499999999999999</v>
      </c>
      <c r="AI77" s="14">
        <f>IF('Données projet'!$A$62&gt;35,AI76+AH77-AQ76,IF(A77&lt;'Données projet'!$A$62,$AF$205^A77,IF(A77='Données projet'!$A$62,'Données projet'!$B$62,AI76+AH77-AQ76)))</f>
        <v>172.10000000000022</v>
      </c>
      <c r="AJ77" s="14">
        <f>AI77*VLOOKUP('Données projet'!$B$10,Paramètres!$A$1:$I$89,3,0)*VLOOKUP('Données projet'!$B$10,Paramètres!$A$1:$I$89,5,0)</f>
        <v>112.75992000000015</v>
      </c>
      <c r="AK77" s="14">
        <f t="shared" si="89"/>
        <v>29.98030246168852</v>
      </c>
      <c r="AL77" s="22">
        <f t="shared" si="58"/>
        <v>248.60588745410772</v>
      </c>
      <c r="AM77" s="60">
        <f t="shared" si="59"/>
        <v>541.93922078744106</v>
      </c>
      <c r="AN77" s="60">
        <f ca="1">AVERAGE(OFFSET($AM$3,0,0,'Données projet'!$E$10+1,1))-AVERAGE(OFFSET($H$3,0,0,'Données projet'!$E$10+1,1))</f>
        <v>170.79567854714986</v>
      </c>
      <c r="AO77" s="60">
        <f t="shared" si="90"/>
        <v>155.92788004111191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-1.1368683772161603E-13</v>
      </c>
      <c r="BE77" s="14">
        <f>BD77*VLOOKUP('Données projet'!$B$11,Paramètres!$A$1:$I$89,3,0)*VLOOKUP('Données projet'!$B$11,Paramètres!$A$1:$I$89,5,0)</f>
        <v>-9.2222762759774927E-14</v>
      </c>
      <c r="BF77" s="14" t="e">
        <f t="shared" si="91"/>
        <v>#NUM!</v>
      </c>
      <c r="BG77" s="22" t="e">
        <f t="shared" si="61"/>
        <v>#NUM!</v>
      </c>
      <c r="BH77" s="60" t="e">
        <f t="shared" si="62"/>
        <v>#NUM!</v>
      </c>
      <c r="BI77" s="60">
        <f ca="1">AVERAGE(OFFSET($BH$3,0,0,'Données projet'!$E$11+1,1))-AVERAGE(OFFSET($H$3,0,0,'Données projet'!$E$11+1,1))</f>
        <v>256.19915261735281</v>
      </c>
      <c r="BJ77" s="60">
        <f t="shared" si="92"/>
        <v>297.47246687305056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3.9743589743589722</v>
      </c>
      <c r="BY77" s="13">
        <f>IF('Données projet'!$A$114&gt;35,BY76+BX77-CG76,IF(A77&lt;'Données projet'!$A$114,$BV$205^A77,IF(A77='Données projet'!$A$114,'Données projet'!$B$114,BY76+BX77-CG76)))</f>
        <v>210.12820512820505</v>
      </c>
      <c r="BZ77" s="14">
        <f>BY77*VLOOKUP('Données projet'!$B$12,Paramètres!$A$1:$I$89,3,0)*VLOOKUP('Données projet'!$B$12,Paramètres!$A$1:$I$89,5,0)</f>
        <v>199.95799999999994</v>
      </c>
      <c r="CA77" s="14">
        <f t="shared" si="93"/>
        <v>49.734937283774826</v>
      </c>
      <c r="CB77" s="22">
        <f t="shared" si="64"/>
        <v>434.88186576924096</v>
      </c>
      <c r="CC77" s="60">
        <f t="shared" si="65"/>
        <v>728.21519910257427</v>
      </c>
      <c r="CD77" s="60">
        <f ca="1">AVERAGE(OFFSET($CC$3,0,0,'Données projet'!$E$12+1,1))-AVERAGE(OFFSET($H$3,0,0,'Données projet'!$E$12+1,1))</f>
        <v>353.53401919391234</v>
      </c>
      <c r="CE77" s="60">
        <f t="shared" si="94"/>
        <v>244.7141066773861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6.2</v>
      </c>
      <c r="CT77" s="13">
        <f>IF('Données projet'!$A$140&gt;35,CT76+CS77-DB76,IF(A77&lt;'Données projet'!$A$140,$CQ$205^A77,IF(A77='Données projet'!$A$140,'Données projet'!$B$140,CT76+CS77-DB76)))</f>
        <v>266.7999999999999</v>
      </c>
      <c r="CU77" s="18">
        <f>CT77*VLOOKUP('Données projet'!$B$13,Paramètres!$A$1:$I$89,3,0)*VLOOKUP('Données projet'!$B$13,Paramètres!$A$1:$I$89,5,0)</f>
        <v>224.75231999999991</v>
      </c>
      <c r="CV77" s="14">
        <f t="shared" si="95"/>
        <v>55.146490754971083</v>
      </c>
      <c r="CW77" s="22">
        <f t="shared" si="67"/>
        <v>487.49042873157447</v>
      </c>
      <c r="CX77" s="60">
        <f t="shared" si="68"/>
        <v>780.82376206490778</v>
      </c>
      <c r="CY77" s="60">
        <f ca="1">AVERAGE(OFFSET($CX$3,0,0,'Données projet'!$E$13+1,1))-AVERAGE(OFFSET($H$3,0,0,'Données projet'!$E$13+1,1))</f>
        <v>403.33327536410098</v>
      </c>
      <c r="CZ77" s="60">
        <f t="shared" si="96"/>
        <v>218.26721063098552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3.4000000000000115</v>
      </c>
      <c r="DO77" s="13">
        <f>IF('Données projet'!$A$166&gt;35,DO76+DN77-DW76,IF(A77&lt;'Données projet'!$A$166,$DL$205^A77,IF(A77='Données projet'!$A$166,'Données projet'!$B$166,DO76+DN77-DW76)))</f>
        <v>276.30000000000024</v>
      </c>
      <c r="DP77" s="18">
        <f>DO77*VLOOKUP('Données projet'!$B$14,Paramètres!$A$1:$I$89,3,0)*VLOOKUP('Données projet'!$B$14,Paramètres!$A$1:$I$89,5,0)</f>
        <v>219.82428000000021</v>
      </c>
      <c r="DQ77" s="14">
        <f t="shared" si="97"/>
        <v>54.076692070881855</v>
      </c>
      <c r="DR77" s="22">
        <f t="shared" si="70"/>
        <v>477.04419302345286</v>
      </c>
      <c r="DS77" s="60">
        <f t="shared" si="71"/>
        <v>770.37752635678612</v>
      </c>
      <c r="DT77" s="60">
        <f ca="1">AVERAGE(OFFSET($DS$3,0,0,'Données projet'!$E$14+1,1))-AVERAGE(OFFSET($H$3,0,0,'Données projet'!$E$14+1,1))</f>
        <v>317.13087551964747</v>
      </c>
      <c r="DU77" s="60">
        <f t="shared" si="98"/>
        <v>293.43300041793185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2.580000000000001</v>
      </c>
      <c r="EJ77" s="13">
        <f>IF('Données projet'!$A$192&gt;35,EJ76+EI77-ER76,IF(A77&lt;'Données projet'!$A$192,$EG$205^A77,IF(A77='Données projet'!$A$192,'Données projet'!$B$192,EJ76+EI77-ER76)))</f>
        <v>218.92000000000013</v>
      </c>
      <c r="EK77" s="18">
        <f>EJ77*VLOOKUP('Données projet'!$B$15,Paramètres!$A$1:$I$89,3,0)*VLOOKUP('Données projet'!$B$15,Paramètres!$A$1:$I$89,5,0)</f>
        <v>174.17275200000012</v>
      </c>
      <c r="EL77" s="14">
        <f t="shared" si="99"/>
        <v>44.023258196853774</v>
      </c>
      <c r="EM77" s="22">
        <f t="shared" si="73"/>
        <v>380.02471775952046</v>
      </c>
      <c r="EN77" s="60">
        <f t="shared" si="74"/>
        <v>673.35805109285377</v>
      </c>
      <c r="EO77" s="60">
        <f ca="1">AVERAGE(OFFSET($EN$3,0,0,'Données projet'!$E$15+1,1))-AVERAGE(OFFSET($H$3,0,0,'Données projet'!$E$15+1,1))</f>
        <v>253.03289960511904</v>
      </c>
      <c r="EP77" s="60">
        <f t="shared" si="100"/>
        <v>236.85088713056018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2.580000000000001</v>
      </c>
      <c r="FE77" s="13">
        <f>IF('Données projet'!$A$218&gt;35,FE76+FD77-FM76,IF(A77&lt;'Données projet'!$A$218,$FB$205^A77,IF(A77='Données projet'!$A$218,'Données projet'!$B$218,FE76+FD77-FM76)))</f>
        <v>218.92000000000013</v>
      </c>
      <c r="FF77" s="18">
        <f>FE77*VLOOKUP('Données projet'!$B$16,Paramètres!$A$1:$I$89,3,0)*VLOOKUP('Données projet'!$B$16,Paramètres!$A$1:$I$89,5,0)</f>
        <v>191.24851200000015</v>
      </c>
      <c r="FG77" s="14">
        <f t="shared" si="101"/>
        <v>47.815875821071351</v>
      </c>
      <c r="FH77" s="22">
        <f t="shared" si="76"/>
        <v>416.37047545503287</v>
      </c>
      <c r="FI77" s="60">
        <f t="shared" si="77"/>
        <v>709.70380878836613</v>
      </c>
      <c r="FJ77" s="60">
        <f ca="1">AVERAGE(OFFSET($FI$3,0,0,'Données projet'!$E$16+1,1))-AVERAGE(OFFSET($H$3,0,0,'Données projet'!$E$16+1,1))</f>
        <v>274.38315511766132</v>
      </c>
      <c r="FK77" s="60">
        <f t="shared" si="102"/>
        <v>255.96663040027175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12.555555555555555</v>
      </c>
      <c r="FZ77" s="13">
        <f>IF('Données projet'!$A$244&gt;35,FZ76+FY77-GH76,IF(A77&lt;'Données projet'!$A$244,$FW$205^A77,IF(A77='Données projet'!$A$244,'Données projet'!$B$244,FZ76+FY77-GH76)))</f>
        <v>336.77777777777749</v>
      </c>
      <c r="GA77" s="18">
        <f>FZ77*VLOOKUP('Données projet'!$B$17,Paramètres!$A$1:$I$89,3,0)*VLOOKUP('Données projet'!$B$17,Paramètres!$A$1:$I$89,5,0)</f>
        <v>288.95533333333316</v>
      </c>
      <c r="GB77" s="14">
        <f t="shared" si="103"/>
        <v>68.856046690289261</v>
      </c>
      <c r="GC77" s="22">
        <f t="shared" si="79"/>
        <v>623.18815354114236</v>
      </c>
      <c r="GD77" s="60">
        <f t="shared" si="80"/>
        <v>916.52148687447561</v>
      </c>
      <c r="GE77" s="60">
        <f ca="1">AVERAGE(OFFSET($GD$3,0,0,'Données projet'!$E$17+1,1))-AVERAGE(OFFSET($H$3,0,0,'Données projet'!$E$17+1,1))</f>
        <v>445.81166342116865</v>
      </c>
      <c r="GF77" s="60">
        <f t="shared" si="104"/>
        <v>230.82970731138215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5.6843418860808015E-14</v>
      </c>
      <c r="GV77" s="18">
        <f>GU77*VLOOKUP('Données projet'!$B$18,Paramètres!$A$1:$I$89,3,0)*VLOOKUP('Données projet'!$B$18,Paramètres!$A$1:$I$89,5,0)</f>
        <v>4.4337866711430253E-14</v>
      </c>
      <c r="GW77" s="14">
        <f t="shared" si="105"/>
        <v>7.3222115536967035E-13</v>
      </c>
      <c r="GX77" s="22">
        <f t="shared" si="82"/>
        <v>1.3525069634579169E-12</v>
      </c>
      <c r="GY77" s="60">
        <f t="shared" si="83"/>
        <v>293.33333333333468</v>
      </c>
      <c r="GZ77" s="60">
        <f ca="1">AVERAGE(OFFSET($GY$3,0,0,'Données projet'!$E$18+1,1))-AVERAGE(OFFSET($H$3,0,0,'Données projet'!$E$18+1,1))</f>
        <v>289.19475369871481</v>
      </c>
      <c r="HA77" s="60">
        <f t="shared" si="106"/>
        <v>283.48738729114024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projet'!$B$18,Paramètres!$A$1:$I$89,3,0)*0.475*44/12</f>
        <v>0</v>
      </c>
      <c r="HH77" s="23">
        <f>EXP(-LN(2)/25)*HH76+(1-EXP(-LN(2)/25))/(LN(2)/25)*Calculateur!HC77*Calculateur!HE77*VLOOKUP('Données projet'!$B$18,Paramètres!$A$1:$I$89,3,0)*0.475*44/12</f>
        <v>0</v>
      </c>
      <c r="HI77" s="23">
        <f>EXP(-LN(2)/2)*HI76+(1-EXP(-LN(2)/2))/(LN(2)/2)*HC77*HF77*VLOOKUP('Données projet'!$B$18,Paramètres!$A$1:$I$89,3,0)*0.475*44/12</f>
        <v>0</v>
      </c>
      <c r="HJ77" s="24">
        <f t="shared" si="84"/>
        <v>0</v>
      </c>
    </row>
    <row r="78" spans="1:218" s="5" customFormat="1" x14ac:dyDescent="0.3">
      <c r="A78" s="11">
        <f t="shared" si="85"/>
        <v>75</v>
      </c>
      <c r="B78" s="75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8">
        <f t="shared" si="56"/>
        <v>256.66666666666669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273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272.99999999999989</v>
      </c>
      <c r="O78" s="14">
        <f>N78*VLOOKUP('Données projet'!$B$9,Paramètres!$A$1:$I$89,3,0)*VLOOKUP('Données projet'!$B$9,Paramètres!$A$1:$I$89,5,0)</f>
        <v>264.04559999999992</v>
      </c>
      <c r="P78" s="14">
        <f t="shared" si="87"/>
        <v>63.58395992997368</v>
      </c>
      <c r="Q78" s="22">
        <f t="shared" si="54"/>
        <v>570.62148354470401</v>
      </c>
      <c r="R78" s="60">
        <f t="shared" si="55"/>
        <v>863.95481687803726</v>
      </c>
      <c r="S78" s="60">
        <f ca="1">AVERAGE(OFFSET($R$3,0,0,'Données projet'!$E$9+1,1))-AVERAGE(OFFSET($H$3,0,0,'Données projet'!$E$9+1,1))</f>
        <v>456.86147223520601</v>
      </c>
      <c r="T78" s="60">
        <f t="shared" si="88"/>
        <v>244.45149244446094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42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1.1499999999999999</v>
      </c>
      <c r="AI78" s="14">
        <f>IF('Données projet'!$A$62&gt;35,AI77+AH78-AQ77,IF(A78&lt;'Données projet'!$A$62,$AF$205^A78,IF(A78='Données projet'!$A$62,'Données projet'!$B$62,AI77+AH78-AQ77)))</f>
        <v>173.25000000000023</v>
      </c>
      <c r="AJ78" s="14">
        <f>AI78*VLOOKUP('Données projet'!$B$10,Paramètres!$A$1:$I$89,3,0)*VLOOKUP('Données projet'!$B$10,Paramètres!$A$1:$I$89,5,0)</f>
        <v>113.51340000000013</v>
      </c>
      <c r="AK78" s="14">
        <f t="shared" si="89"/>
        <v>30.157248227663427</v>
      </c>
      <c r="AL78" s="22">
        <f t="shared" si="58"/>
        <v>250.22637899651397</v>
      </c>
      <c r="AM78" s="60">
        <f t="shared" si="59"/>
        <v>543.55971232984734</v>
      </c>
      <c r="AN78" s="60">
        <f ca="1">AVERAGE(OFFSET($AM$3,0,0,'Données projet'!$E$10+1,1))-AVERAGE(OFFSET($H$3,0,0,'Données projet'!$E$10+1,1))</f>
        <v>170.79567854714986</v>
      </c>
      <c r="AO78" s="60">
        <f t="shared" si="90"/>
        <v>155.92788004111191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-1.1368683772161603E-13</v>
      </c>
      <c r="BE78" s="14">
        <f>BD78*VLOOKUP('Données projet'!$B$11,Paramètres!$A$1:$I$89,3,0)*VLOOKUP('Données projet'!$B$11,Paramètres!$A$1:$I$89,5,0)</f>
        <v>-9.2222762759774927E-14</v>
      </c>
      <c r="BF78" s="14" t="e">
        <f t="shared" si="91"/>
        <v>#NUM!</v>
      </c>
      <c r="BG78" s="22" t="e">
        <f t="shared" si="61"/>
        <v>#NUM!</v>
      </c>
      <c r="BH78" s="60" t="e">
        <f t="shared" si="62"/>
        <v>#NUM!</v>
      </c>
      <c r="BI78" s="60">
        <f ca="1">AVERAGE(OFFSET($BH$3,0,0,'Données projet'!$E$11+1,1))-AVERAGE(OFFSET($H$3,0,0,'Données projet'!$E$11+1,1))</f>
        <v>256.19915261735281</v>
      </c>
      <c r="BJ78" s="60">
        <f t="shared" si="92"/>
        <v>297.47246687305056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214.10256410256409</v>
      </c>
      <c r="BW78" s="13">
        <f>VLOOKUP(A78,'Données projet'!$A$113:$I$133,9,0)</f>
        <v>3.9743589743589722</v>
      </c>
      <c r="BX78" s="13">
        <f t="array" ref="BX78">INDEX(BW:BW,MIN(IF(ISNUMBER(BW78:BW274),ROW(BW78:BW274),"")))</f>
        <v>3.9743589743589722</v>
      </c>
      <c r="BY78" s="13">
        <f>IF('Données projet'!$A$114&gt;35,BY77+BX78-CG77,IF(A78&lt;'Données projet'!$A$114,$BV$205^A78,IF(A78='Données projet'!$A$114,'Données projet'!$B$114,BY77+BX78-CG77)))</f>
        <v>214.10256410256403</v>
      </c>
      <c r="BZ78" s="14">
        <f>BY78*VLOOKUP('Données projet'!$B$12,Paramètres!$A$1:$I$89,3,0)*VLOOKUP('Données projet'!$B$12,Paramètres!$A$1:$I$89,5,0)</f>
        <v>203.73999999999995</v>
      </c>
      <c r="CA78" s="14">
        <f t="shared" si="93"/>
        <v>50.565218142155274</v>
      </c>
      <c r="CB78" s="22">
        <f t="shared" si="64"/>
        <v>442.91492159758701</v>
      </c>
      <c r="CC78" s="60">
        <f t="shared" si="65"/>
        <v>736.24825493092033</v>
      </c>
      <c r="CD78" s="60">
        <f ca="1">AVERAGE(OFFSET($CC$3,0,0,'Données projet'!$E$12+1,1))-AVERAGE(OFFSET($H$3,0,0,'Données projet'!$E$12+1,1))</f>
        <v>353.53401919391234</v>
      </c>
      <c r="CE78" s="60">
        <f t="shared" si="94"/>
        <v>244.7141066773861</v>
      </c>
      <c r="CF78" s="16">
        <f>IF(ISNA(VLOOKUP(A78,'Données projet'!$A$113:$I$133,3,0)),0,VLOOKUP(A78,'Données projet'!$A$113:$I$133,3,0))</f>
        <v>6</v>
      </c>
      <c r="CG78" s="16">
        <f>IF(ISNA(VLOOKUP(A78,'Données projet'!$A$113:$I$133,4,0)),0,VLOOKUP(A78,'Données projet'!$A$113:$I$133,4,0))</f>
        <v>26.923076923076923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273</v>
      </c>
      <c r="CR78" s="13">
        <f>VLOOKUP(A78,'Données projet'!$A$139:$I$159,9,0)</f>
        <v>6.2</v>
      </c>
      <c r="CS78" s="13">
        <f t="array" ref="CS78">INDEX(CR:CR,MIN(IF(ISNUMBER(CR78:CR274),ROW(CR78:CR274),"")))</f>
        <v>6.2</v>
      </c>
      <c r="CT78" s="13">
        <f>IF('Données projet'!$A$140&gt;35,CT77+CS78-DB77,IF(A78&lt;'Données projet'!$A$140,$CQ$205^A78,IF(A78='Données projet'!$A$140,'Données projet'!$B$140,CT77+CS78-DB77)))</f>
        <v>272.99999999999989</v>
      </c>
      <c r="CU78" s="18">
        <f>CT78*VLOOKUP('Données projet'!$B$13,Paramètres!$A$1:$I$89,3,0)*VLOOKUP('Données projet'!$B$13,Paramètres!$A$1:$I$89,5,0)</f>
        <v>229.97519999999994</v>
      </c>
      <c r="CV78" s="14">
        <f t="shared" si="95"/>
        <v>56.277319157664266</v>
      </c>
      <c r="CW78" s="22">
        <f t="shared" si="67"/>
        <v>498.55647086626522</v>
      </c>
      <c r="CX78" s="60">
        <f t="shared" si="68"/>
        <v>791.88980419959853</v>
      </c>
      <c r="CY78" s="60">
        <f ca="1">AVERAGE(OFFSET($CX$3,0,0,'Données projet'!$E$13+1,1))-AVERAGE(OFFSET($H$3,0,0,'Données projet'!$E$13+1,1))</f>
        <v>403.33327536410098</v>
      </c>
      <c r="CZ78" s="60">
        <f t="shared" si="96"/>
        <v>218.26721063098552</v>
      </c>
      <c r="DA78" s="16">
        <f>IF(ISNA(VLOOKUP(A78,'Données projet'!$A$139:$I$159,3,0)),0,VLOOKUP(A78,'Données projet'!$A$139:$I$159,3,0))</f>
        <v>6</v>
      </c>
      <c r="DB78" s="16">
        <f>IF(ISNA(VLOOKUP(A78,'Données projet'!$A$139:$I$159,4,0)),0,VLOOKUP(A78,'Données projet'!$A$139:$I$159,4,0))</f>
        <v>42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279.70000000000005</v>
      </c>
      <c r="DM78" s="13">
        <f>VLOOKUP(A78,'Données projet'!$A$165:$I$185,9,0)</f>
        <v>3.4000000000000115</v>
      </c>
      <c r="DN78" s="13">
        <f t="array" ref="DN78">INDEX(DM:DM,MIN(IF(ISNUMBER(DM78:DM274),ROW(DM78:DM274),"")))</f>
        <v>3.4000000000000115</v>
      </c>
      <c r="DO78" s="13">
        <f>IF('Données projet'!$A$166&gt;35,DO77+DN78-DW77,IF(A78&lt;'Données projet'!$A$166,$DL$205^A78,IF(A78='Données projet'!$A$166,'Données projet'!$B$166,DO77+DN78-DW77)))</f>
        <v>279.70000000000027</v>
      </c>
      <c r="DP78" s="18">
        <f>DO78*VLOOKUP('Données projet'!$B$14,Paramètres!$A$1:$I$89,3,0)*VLOOKUP('Données projet'!$B$14,Paramètres!$A$1:$I$89,5,0)</f>
        <v>222.52932000000021</v>
      </c>
      <c r="DQ78" s="14">
        <f t="shared" si="97"/>
        <v>54.664254651087177</v>
      </c>
      <c r="DR78" s="22">
        <f t="shared" si="70"/>
        <v>482.77880918397722</v>
      </c>
      <c r="DS78" s="60">
        <f t="shared" si="71"/>
        <v>776.11214251731053</v>
      </c>
      <c r="DT78" s="60">
        <f ca="1">AVERAGE(OFFSET($DS$3,0,0,'Données projet'!$E$14+1,1))-AVERAGE(OFFSET($H$3,0,0,'Données projet'!$E$14+1,1))</f>
        <v>317.13087551964747</v>
      </c>
      <c r="DU78" s="60">
        <f t="shared" si="98"/>
        <v>293.43300041793185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221.5</v>
      </c>
      <c r="EH78" s="13">
        <f>VLOOKUP(A78,'Données projet'!$A$191:$I$211,9,0)</f>
        <v>2.580000000000001</v>
      </c>
      <c r="EI78" s="13">
        <f t="array" ref="EI78">INDEX(EH:EH,MIN(IF(ISNUMBER(EH78:EH274),ROW(EH78:EH274),"")))</f>
        <v>2.580000000000001</v>
      </c>
      <c r="EJ78" s="13">
        <f>IF('Données projet'!$A$192&gt;35,EJ77+EI78-ER77,IF(A78&lt;'Données projet'!$A$192,$EG$205^A78,IF(A78='Données projet'!$A$192,'Données projet'!$B$192,EJ77+EI78-ER77)))</f>
        <v>221.50000000000014</v>
      </c>
      <c r="EK78" s="18">
        <f>EJ78*VLOOKUP('Données projet'!$B$15,Paramètres!$A$1:$I$89,3,0)*VLOOKUP('Données projet'!$B$15,Paramètres!$A$1:$I$89,5,0)</f>
        <v>176.22540000000012</v>
      </c>
      <c r="EL78" s="14">
        <f t="shared" si="99"/>
        <v>44.481374209901524</v>
      </c>
      <c r="EM78" s="22">
        <f t="shared" si="73"/>
        <v>384.39763174891203</v>
      </c>
      <c r="EN78" s="60">
        <f t="shared" si="74"/>
        <v>677.73096508224535</v>
      </c>
      <c r="EO78" s="60">
        <f ca="1">AVERAGE(OFFSET($EN$3,0,0,'Données projet'!$E$15+1,1))-AVERAGE(OFFSET($H$3,0,0,'Données projet'!$E$15+1,1))</f>
        <v>253.03289960511904</v>
      </c>
      <c r="EP78" s="60">
        <f t="shared" si="100"/>
        <v>236.85088713056018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221.5</v>
      </c>
      <c r="FC78" s="13">
        <f>VLOOKUP(A78,'Données projet'!$A$217:$I$237,9,0)</f>
        <v>2.580000000000001</v>
      </c>
      <c r="FD78" s="13">
        <f t="array" ref="FD78">INDEX(FC:FC,MIN(IF(ISNUMBER(FC78:FC274),ROW(FC78:FC274),"")))</f>
        <v>2.580000000000001</v>
      </c>
      <c r="FE78" s="13">
        <f>IF('Données projet'!$A$218&gt;35,FE77+FD78-FM77,IF(A78&lt;'Données projet'!$A$218,$FB$205^A78,IF(A78='Données projet'!$A$218,'Données projet'!$B$218,FE77+FD78-FM77)))</f>
        <v>221.50000000000014</v>
      </c>
      <c r="FF78" s="18">
        <f>FE78*VLOOKUP('Données projet'!$B$16,Paramètres!$A$1:$I$89,3,0)*VLOOKUP('Données projet'!$B$16,Paramètres!$A$1:$I$89,5,0)</f>
        <v>193.50240000000014</v>
      </c>
      <c r="FG78" s="14">
        <f t="shared" si="101"/>
        <v>48.313458673607713</v>
      </c>
      <c r="FH78" s="22">
        <f t="shared" si="76"/>
        <v>421.16262052320036</v>
      </c>
      <c r="FI78" s="60">
        <f t="shared" si="77"/>
        <v>714.49595385653367</v>
      </c>
      <c r="FJ78" s="60">
        <f ca="1">AVERAGE(OFFSET($FI$3,0,0,'Données projet'!$E$16+1,1))-AVERAGE(OFFSET($H$3,0,0,'Données projet'!$E$16+1,1))</f>
        <v>274.38315511766132</v>
      </c>
      <c r="FK78" s="60">
        <f t="shared" si="102"/>
        <v>255.96663040027175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12.555555555555555</v>
      </c>
      <c r="FZ78" s="13">
        <f>IF('Données projet'!$A$244&gt;35,FZ77+FY78-GH77,IF(A78&lt;'Données projet'!$A$244,$FW$205^A78,IF(A78='Données projet'!$A$244,'Données projet'!$B$244,FZ77+FY78-GH77)))</f>
        <v>349.33333333333303</v>
      </c>
      <c r="GA78" s="18">
        <f>FZ78*VLOOKUP('Données projet'!$B$17,Paramètres!$A$1:$I$89,3,0)*VLOOKUP('Données projet'!$B$17,Paramètres!$A$1:$I$89,5,0)</f>
        <v>299.72799999999978</v>
      </c>
      <c r="GB78" s="14">
        <f t="shared" si="103"/>
        <v>71.119438818118951</v>
      </c>
      <c r="GC78" s="22">
        <f t="shared" si="79"/>
        <v>645.89262260822341</v>
      </c>
      <c r="GD78" s="60">
        <f t="shared" si="80"/>
        <v>939.22595594155678</v>
      </c>
      <c r="GE78" s="60">
        <f ca="1">AVERAGE(OFFSET($GD$3,0,0,'Données projet'!$E$17+1,1))-AVERAGE(OFFSET($H$3,0,0,'Données projet'!$E$17+1,1))</f>
        <v>445.81166342116865</v>
      </c>
      <c r="GF78" s="60">
        <f t="shared" si="104"/>
        <v>230.82970731138215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5.6843418860808015E-14</v>
      </c>
      <c r="GV78" s="18">
        <f>GU78*VLOOKUP('Données projet'!$B$18,Paramètres!$A$1:$I$89,3,0)*VLOOKUP('Données projet'!$B$18,Paramètres!$A$1:$I$89,5,0)</f>
        <v>4.4337866711430253E-14</v>
      </c>
      <c r="GW78" s="14">
        <f t="shared" si="105"/>
        <v>7.3222115536967035E-13</v>
      </c>
      <c r="GX78" s="22">
        <f t="shared" si="82"/>
        <v>1.3525069634579169E-12</v>
      </c>
      <c r="GY78" s="60">
        <f t="shared" si="83"/>
        <v>293.33333333333468</v>
      </c>
      <c r="GZ78" s="60">
        <f ca="1">AVERAGE(OFFSET($GY$3,0,0,'Données projet'!$E$18+1,1))-AVERAGE(OFFSET($H$3,0,0,'Données projet'!$E$18+1,1))</f>
        <v>289.19475369871481</v>
      </c>
      <c r="HA78" s="60">
        <f t="shared" si="106"/>
        <v>283.48738729114024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projet'!$B$18,Paramètres!$A$1:$I$89,3,0)*0.475*44/12</f>
        <v>0</v>
      </c>
      <c r="HH78" s="23">
        <f>EXP(-LN(2)/25)*HH77+(1-EXP(-LN(2)/25))/(LN(2)/25)*Calculateur!HC78*Calculateur!HE78*VLOOKUP('Données projet'!$B$18,Paramètres!$A$1:$I$89,3,0)*0.475*44/12</f>
        <v>0</v>
      </c>
      <c r="HI78" s="23">
        <f>EXP(-LN(2)/2)*HI77+(1-EXP(-LN(2)/2))/(LN(2)/2)*HC78*HF78*VLOOKUP('Données projet'!$B$18,Paramètres!$A$1:$I$89,3,0)*0.475*44/12</f>
        <v>0</v>
      </c>
      <c r="HJ78" s="24">
        <f t="shared" si="84"/>
        <v>0</v>
      </c>
    </row>
    <row r="79" spans="1:218" s="5" customFormat="1" x14ac:dyDescent="0.3">
      <c r="A79" s="11">
        <f t="shared" si="85"/>
        <v>76</v>
      </c>
      <c r="B79" s="75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8">
        <f t="shared" si="56"/>
        <v>256.66666666666669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236.99999999999989</v>
      </c>
      <c r="O79" s="14">
        <f>N79*VLOOKUP('Données projet'!$B$9,Paramètres!$A$1:$I$89,3,0)*VLOOKUP('Données projet'!$B$9,Paramètres!$A$1:$I$89,5,0)</f>
        <v>229.22639999999993</v>
      </c>
      <c r="P79" s="14">
        <f t="shared" si="87"/>
        <v>56.115378339388542</v>
      </c>
      <c r="Q79" s="22">
        <f t="shared" si="54"/>
        <v>496.97026394110162</v>
      </c>
      <c r="R79" s="60">
        <f t="shared" si="55"/>
        <v>790.30359727443488</v>
      </c>
      <c r="S79" s="60">
        <f ca="1">AVERAGE(OFFSET($R$3,0,0,'Données projet'!$E$9+1,1))-AVERAGE(OFFSET($H$3,0,0,'Données projet'!$E$9+1,1))</f>
        <v>456.86147223520601</v>
      </c>
      <c r="T79" s="60">
        <f t="shared" si="88"/>
        <v>244.45149244446094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1.1499999999999999</v>
      </c>
      <c r="AI79" s="14">
        <f>IF('Données projet'!$A$62&gt;35,AI78+AH79-AQ78,IF(A79&lt;'Données projet'!$A$62,$AF$205^A79,IF(A79='Données projet'!$A$62,'Données projet'!$B$62,AI78+AH79-AQ78)))</f>
        <v>174.40000000000023</v>
      </c>
      <c r="AJ79" s="14">
        <f>AI79*VLOOKUP('Données projet'!$B$10,Paramètres!$A$1:$I$89,3,0)*VLOOKUP('Données projet'!$B$10,Paramètres!$A$1:$I$89,5,0)</f>
        <v>114.26688000000014</v>
      </c>
      <c r="AK79" s="14">
        <f t="shared" si="89"/>
        <v>30.334057329879982</v>
      </c>
      <c r="AL79" s="22">
        <f t="shared" si="58"/>
        <v>251.8466325162079</v>
      </c>
      <c r="AM79" s="60">
        <f t="shared" si="59"/>
        <v>545.17996584954119</v>
      </c>
      <c r="AN79" s="60">
        <f ca="1">AVERAGE(OFFSET($AM$3,0,0,'Données projet'!$E$10+1,1))-AVERAGE(OFFSET($H$3,0,0,'Données projet'!$E$10+1,1))</f>
        <v>170.79567854714986</v>
      </c>
      <c r="AO79" s="60">
        <f t="shared" si="90"/>
        <v>155.92788004111191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-1.1368683772161603E-13</v>
      </c>
      <c r="BE79" s="14">
        <f>BD79*VLOOKUP('Données projet'!$B$11,Paramètres!$A$1:$I$89,3,0)*VLOOKUP('Données projet'!$B$11,Paramètres!$A$1:$I$89,5,0)</f>
        <v>-9.2222762759774927E-14</v>
      </c>
      <c r="BF79" s="14" t="e">
        <f t="shared" si="91"/>
        <v>#NUM!</v>
      </c>
      <c r="BG79" s="22" t="e">
        <f t="shared" si="61"/>
        <v>#NUM!</v>
      </c>
      <c r="BH79" s="60" t="e">
        <f t="shared" si="62"/>
        <v>#NUM!</v>
      </c>
      <c r="BI79" s="60">
        <f ca="1">AVERAGE(OFFSET($BH$3,0,0,'Données projet'!$E$11+1,1))-AVERAGE(OFFSET($H$3,0,0,'Données projet'!$E$11+1,1))</f>
        <v>256.19915261735281</v>
      </c>
      <c r="BJ79" s="60">
        <f t="shared" si="92"/>
        <v>297.47246687305056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3.8461538461538511</v>
      </c>
      <c r="BY79" s="13">
        <f>IF('Données projet'!$A$114&gt;35,BY78+BX79-CG78,IF(A79&lt;'Données projet'!$A$114,$BV$205^A79,IF(A79='Données projet'!$A$114,'Données projet'!$B$114,BY78+BX79-CG78)))</f>
        <v>191.02564102564094</v>
      </c>
      <c r="BZ79" s="14">
        <f>BY79*VLOOKUP('Données projet'!$B$12,Paramètres!$A$1:$I$89,3,0)*VLOOKUP('Données projet'!$B$12,Paramètres!$A$1:$I$89,5,0)</f>
        <v>181.77999999999992</v>
      </c>
      <c r="CA79" s="14">
        <f t="shared" si="93"/>
        <v>45.717976285292259</v>
      </c>
      <c r="CB79" s="22">
        <f t="shared" si="64"/>
        <v>396.22564203021716</v>
      </c>
      <c r="CC79" s="60">
        <f t="shared" si="65"/>
        <v>689.55897536355042</v>
      </c>
      <c r="CD79" s="60">
        <f ca="1">AVERAGE(OFFSET($CC$3,0,0,'Données projet'!$E$12+1,1))-AVERAGE(OFFSET($H$3,0,0,'Données projet'!$E$12+1,1))</f>
        <v>353.53401919391234</v>
      </c>
      <c r="CE79" s="60">
        <f t="shared" si="94"/>
        <v>244.7141066773861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6</v>
      </c>
      <c r="CT79" s="13">
        <f>IF('Données projet'!$A$140&gt;35,CT78+CS79-DB78,IF(A79&lt;'Données projet'!$A$140,$CQ$205^A79,IF(A79='Données projet'!$A$140,'Données projet'!$B$140,CT78+CS79-DB78)))</f>
        <v>236.99999999999989</v>
      </c>
      <c r="CU79" s="18">
        <f>CT79*VLOOKUP('Données projet'!$B$13,Paramètres!$A$1:$I$89,3,0)*VLOOKUP('Données projet'!$B$13,Paramètres!$A$1:$I$89,5,0)</f>
        <v>199.64879999999994</v>
      </c>
      <c r="CV79" s="14">
        <f t="shared" si="95"/>
        <v>49.666976701936271</v>
      </c>
      <c r="CW79" s="22">
        <f t="shared" si="67"/>
        <v>434.22497775587226</v>
      </c>
      <c r="CX79" s="60">
        <f t="shared" si="68"/>
        <v>727.55831108920552</v>
      </c>
      <c r="CY79" s="60">
        <f ca="1">AVERAGE(OFFSET($CX$3,0,0,'Données projet'!$E$13+1,1))-AVERAGE(OFFSET($H$3,0,0,'Données projet'!$E$13+1,1))</f>
        <v>403.33327536410098</v>
      </c>
      <c r="CZ79" s="60">
        <f t="shared" si="96"/>
        <v>218.26721063098552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2.9799999999999955</v>
      </c>
      <c r="DO79" s="13">
        <f>IF('Données projet'!$A$166&gt;35,DO78+DN79-DW78,IF(A79&lt;'Données projet'!$A$166,$DL$205^A79,IF(A79='Données projet'!$A$166,'Données projet'!$B$166,DO78+DN79-DW78)))</f>
        <v>282.68000000000029</v>
      </c>
      <c r="DP79" s="18">
        <f>DO79*VLOOKUP('Données projet'!$B$14,Paramètres!$A$1:$I$89,3,0)*VLOOKUP('Données projet'!$B$14,Paramètres!$A$1:$I$89,5,0)</f>
        <v>224.90020800000022</v>
      </c>
      <c r="DQ79" s="14">
        <f t="shared" si="97"/>
        <v>55.178552393457672</v>
      </c>
      <c r="DR79" s="22">
        <f t="shared" si="70"/>
        <v>487.80384101860591</v>
      </c>
      <c r="DS79" s="60">
        <f t="shared" si="71"/>
        <v>781.13717435193917</v>
      </c>
      <c r="DT79" s="60">
        <f ca="1">AVERAGE(OFFSET($DS$3,0,0,'Données projet'!$E$14+1,1))-AVERAGE(OFFSET($H$3,0,0,'Données projet'!$E$14+1,1))</f>
        <v>317.13087551964747</v>
      </c>
      <c r="DU79" s="60">
        <f t="shared" si="98"/>
        <v>293.43300041793185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2.2799999999999954</v>
      </c>
      <c r="EJ79" s="13">
        <f>IF('Données projet'!$A$192&gt;35,EJ78+EI79-ER78,IF(A79&lt;'Données projet'!$A$192,$EG$205^A79,IF(A79='Données projet'!$A$192,'Données projet'!$B$192,EJ78+EI79-ER78)))</f>
        <v>223.78000000000014</v>
      </c>
      <c r="EK79" s="18">
        <f>EJ79*VLOOKUP('Données projet'!$B$15,Paramètres!$A$1:$I$89,3,0)*VLOOKUP('Données projet'!$B$15,Paramètres!$A$1:$I$89,5,0)</f>
        <v>178.03936800000014</v>
      </c>
      <c r="EL79" s="14">
        <f t="shared" si="99"/>
        <v>44.885704015214827</v>
      </c>
      <c r="EM79" s="22">
        <f t="shared" si="73"/>
        <v>388.26116709316602</v>
      </c>
      <c r="EN79" s="60">
        <f t="shared" si="74"/>
        <v>681.59450042649928</v>
      </c>
      <c r="EO79" s="60">
        <f ca="1">AVERAGE(OFFSET($EN$3,0,0,'Données projet'!$E$15+1,1))-AVERAGE(OFFSET($H$3,0,0,'Données projet'!$E$15+1,1))</f>
        <v>253.03289960511904</v>
      </c>
      <c r="EP79" s="60">
        <f t="shared" si="100"/>
        <v>236.85088713056018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2.2799999999999954</v>
      </c>
      <c r="FE79" s="13">
        <f>IF('Données projet'!$A$218&gt;35,FE78+FD79-FM78,IF(A79&lt;'Données projet'!$A$218,$FB$205^A79,IF(A79='Données projet'!$A$218,'Données projet'!$B$218,FE78+FD79-FM78)))</f>
        <v>223.78000000000014</v>
      </c>
      <c r="FF79" s="18">
        <f>FE79*VLOOKUP('Données projet'!$B$16,Paramètres!$A$1:$I$89,3,0)*VLOOKUP('Données projet'!$B$16,Paramètres!$A$1:$I$89,5,0)</f>
        <v>195.49420800000013</v>
      </c>
      <c r="FG79" s="14">
        <f t="shared" si="101"/>
        <v>48.752621619593398</v>
      </c>
      <c r="FH79" s="22">
        <f t="shared" si="76"/>
        <v>425.39656158745873</v>
      </c>
      <c r="FI79" s="60">
        <f t="shared" si="77"/>
        <v>718.72989492079205</v>
      </c>
      <c r="FJ79" s="60">
        <f ca="1">AVERAGE(OFFSET($FI$3,0,0,'Données projet'!$E$16+1,1))-AVERAGE(OFFSET($H$3,0,0,'Données projet'!$E$16+1,1))</f>
        <v>274.38315511766132</v>
      </c>
      <c r="FK79" s="60">
        <f t="shared" si="102"/>
        <v>255.96663040027175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12.555555555555555</v>
      </c>
      <c r="FZ79" s="13">
        <f>IF('Données projet'!$A$244&gt;35,FZ78+FY79-GH78,IF(A79&lt;'Données projet'!$A$244,$FW$205^A79,IF(A79='Données projet'!$A$244,'Données projet'!$B$244,FZ78+FY79-GH78)))</f>
        <v>361.88888888888857</v>
      </c>
      <c r="GA79" s="18">
        <f>FZ79*VLOOKUP('Données projet'!$B$17,Paramètres!$A$1:$I$89,3,0)*VLOOKUP('Données projet'!$B$17,Paramètres!$A$1:$I$89,5,0)</f>
        <v>310.5006666666664</v>
      </c>
      <c r="GB79" s="14">
        <f t="shared" si="103"/>
        <v>73.373379476611461</v>
      </c>
      <c r="GC79" s="22">
        <f t="shared" si="79"/>
        <v>668.58063036620888</v>
      </c>
      <c r="GD79" s="60">
        <f t="shared" si="80"/>
        <v>961.91396369954214</v>
      </c>
      <c r="GE79" s="60">
        <f ca="1">AVERAGE(OFFSET($GD$3,0,0,'Données projet'!$E$17+1,1))-AVERAGE(OFFSET($H$3,0,0,'Données projet'!$E$17+1,1))</f>
        <v>445.81166342116865</v>
      </c>
      <c r="GF79" s="60">
        <f t="shared" si="104"/>
        <v>230.82970731138215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5.6843418860808015E-14</v>
      </c>
      <c r="GV79" s="18">
        <f>GU79*VLOOKUP('Données projet'!$B$18,Paramètres!$A$1:$I$89,3,0)*VLOOKUP('Données projet'!$B$18,Paramètres!$A$1:$I$89,5,0)</f>
        <v>4.4337866711430253E-14</v>
      </c>
      <c r="GW79" s="14">
        <f t="shared" si="105"/>
        <v>7.3222115536967035E-13</v>
      </c>
      <c r="GX79" s="22">
        <f t="shared" si="82"/>
        <v>1.3525069634579169E-12</v>
      </c>
      <c r="GY79" s="60">
        <f t="shared" si="83"/>
        <v>293.33333333333468</v>
      </c>
      <c r="GZ79" s="60">
        <f ca="1">AVERAGE(OFFSET($GY$3,0,0,'Données projet'!$E$18+1,1))-AVERAGE(OFFSET($H$3,0,0,'Données projet'!$E$18+1,1))</f>
        <v>289.19475369871481</v>
      </c>
      <c r="HA79" s="60">
        <f t="shared" si="106"/>
        <v>283.48738729114024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projet'!$B$18,Paramètres!$A$1:$I$89,3,0)*0.475*44/12</f>
        <v>0</v>
      </c>
      <c r="HH79" s="23">
        <f>EXP(-LN(2)/25)*HH78+(1-EXP(-LN(2)/25))/(LN(2)/25)*Calculateur!HC79*Calculateur!HE79*VLOOKUP('Données projet'!$B$18,Paramètres!$A$1:$I$89,3,0)*0.475*44/12</f>
        <v>0</v>
      </c>
      <c r="HI79" s="23">
        <f>EXP(-LN(2)/2)*HI78+(1-EXP(-LN(2)/2))/(LN(2)/2)*HC79*HF79*VLOOKUP('Données projet'!$B$18,Paramètres!$A$1:$I$89,3,0)*0.475*44/12</f>
        <v>0</v>
      </c>
      <c r="HJ79" s="24">
        <f t="shared" si="84"/>
        <v>0</v>
      </c>
    </row>
    <row r="80" spans="1:218" s="5" customFormat="1" x14ac:dyDescent="0.3">
      <c r="A80" s="11">
        <f t="shared" si="85"/>
        <v>77</v>
      </c>
      <c r="B80" s="75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8">
        <f t="shared" si="56"/>
        <v>256.66666666666669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242.99999999999989</v>
      </c>
      <c r="O80" s="14">
        <f>N80*VLOOKUP('Données projet'!$B$9,Paramètres!$A$1:$I$89,3,0)*VLOOKUP('Données projet'!$B$9,Paramètres!$A$1:$I$89,5,0)</f>
        <v>235.0295999999999</v>
      </c>
      <c r="P80" s="14">
        <f t="shared" si="87"/>
        <v>57.368825686861157</v>
      </c>
      <c r="Q80" s="22">
        <f t="shared" si="54"/>
        <v>509.26059140461626</v>
      </c>
      <c r="R80" s="60">
        <f t="shared" si="55"/>
        <v>802.59392473794958</v>
      </c>
      <c r="S80" s="60">
        <f ca="1">AVERAGE(OFFSET($R$3,0,0,'Données projet'!$E$9+1,1))-AVERAGE(OFFSET($H$3,0,0,'Données projet'!$E$9+1,1))</f>
        <v>456.86147223520601</v>
      </c>
      <c r="T80" s="60">
        <f t="shared" si="88"/>
        <v>244.45149244446094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1.1499999999999999</v>
      </c>
      <c r="AI80" s="14">
        <f>IF('Données projet'!$A$62&gt;35,AI79+AH80-AQ79,IF(A80&lt;'Données projet'!$A$62,$AF$205^A80,IF(A80='Données projet'!$A$62,'Données projet'!$B$62,AI79+AH80-AQ79)))</f>
        <v>175.55000000000024</v>
      </c>
      <c r="AJ80" s="14">
        <f>AI80*VLOOKUP('Données projet'!$B$10,Paramètres!$A$1:$I$89,3,0)*VLOOKUP('Données projet'!$B$10,Paramètres!$A$1:$I$89,5,0)</f>
        <v>115.02036000000015</v>
      </c>
      <c r="AK80" s="14">
        <f t="shared" si="89"/>
        <v>30.510730774028268</v>
      </c>
      <c r="AL80" s="22">
        <f t="shared" si="58"/>
        <v>253.46664976476617</v>
      </c>
      <c r="AM80" s="60">
        <f t="shared" si="59"/>
        <v>546.79998309809946</v>
      </c>
      <c r="AN80" s="60">
        <f ca="1">AVERAGE(OFFSET($AM$3,0,0,'Données projet'!$E$10+1,1))-AVERAGE(OFFSET($H$3,0,0,'Données projet'!$E$10+1,1))</f>
        <v>170.79567854714986</v>
      </c>
      <c r="AO80" s="60">
        <f t="shared" si="90"/>
        <v>155.92788004111191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-1.1368683772161603E-13</v>
      </c>
      <c r="BE80" s="14">
        <f>BD80*VLOOKUP('Données projet'!$B$11,Paramètres!$A$1:$I$89,3,0)*VLOOKUP('Données projet'!$B$11,Paramètres!$A$1:$I$89,5,0)</f>
        <v>-9.2222762759774927E-14</v>
      </c>
      <c r="BF80" s="14" t="e">
        <f t="shared" si="91"/>
        <v>#NUM!</v>
      </c>
      <c r="BG80" s="22" t="e">
        <f t="shared" si="61"/>
        <v>#NUM!</v>
      </c>
      <c r="BH80" s="60" t="e">
        <f t="shared" si="62"/>
        <v>#NUM!</v>
      </c>
      <c r="BI80" s="60">
        <f ca="1">AVERAGE(OFFSET($BH$3,0,0,'Données projet'!$E$11+1,1))-AVERAGE(OFFSET($H$3,0,0,'Données projet'!$E$11+1,1))</f>
        <v>256.19915261735281</v>
      </c>
      <c r="BJ80" s="60">
        <f t="shared" si="92"/>
        <v>297.47246687305056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3.8461538461538511</v>
      </c>
      <c r="BY80" s="13">
        <f>IF('Données projet'!$A$114&gt;35,BY79+BX80-CG79,IF(A80&lt;'Données projet'!$A$114,$BV$205^A80,IF(A80='Données projet'!$A$114,'Données projet'!$B$114,BY79+BX80-CG79)))</f>
        <v>194.87179487179478</v>
      </c>
      <c r="BZ80" s="14">
        <f>BY80*VLOOKUP('Données projet'!$B$12,Paramètres!$A$1:$I$89,3,0)*VLOOKUP('Données projet'!$B$12,Paramètres!$A$1:$I$89,5,0)</f>
        <v>185.43999999999991</v>
      </c>
      <c r="CA80" s="14">
        <f t="shared" si="93"/>
        <v>46.530380670487169</v>
      </c>
      <c r="CB80" s="22">
        <f t="shared" si="64"/>
        <v>404.01507966776506</v>
      </c>
      <c r="CC80" s="60">
        <f t="shared" si="65"/>
        <v>697.34841300109838</v>
      </c>
      <c r="CD80" s="60">
        <f ca="1">AVERAGE(OFFSET($CC$3,0,0,'Données projet'!$E$12+1,1))-AVERAGE(OFFSET($H$3,0,0,'Données projet'!$E$12+1,1))</f>
        <v>353.53401919391234</v>
      </c>
      <c r="CE80" s="60">
        <f t="shared" si="94"/>
        <v>244.7141066773861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6</v>
      </c>
      <c r="CT80" s="13">
        <f>IF('Données projet'!$A$140&gt;35,CT79+CS80-DB79,IF(A80&lt;'Données projet'!$A$140,$CQ$205^A80,IF(A80='Données projet'!$A$140,'Données projet'!$B$140,CT79+CS80-DB79)))</f>
        <v>242.99999999999989</v>
      </c>
      <c r="CU80" s="18">
        <f>CT80*VLOOKUP('Données projet'!$B$13,Paramètres!$A$1:$I$89,3,0)*VLOOKUP('Données projet'!$B$13,Paramètres!$A$1:$I$89,5,0)</f>
        <v>204.70319999999992</v>
      </c>
      <c r="CV80" s="14">
        <f t="shared" si="95"/>
        <v>50.776386315598728</v>
      </c>
      <c r="CW80" s="22">
        <f t="shared" si="67"/>
        <v>444.96027949966765</v>
      </c>
      <c r="CX80" s="60">
        <f t="shared" si="68"/>
        <v>738.29361283300091</v>
      </c>
      <c r="CY80" s="60">
        <f ca="1">AVERAGE(OFFSET($CX$3,0,0,'Données projet'!$E$13+1,1))-AVERAGE(OFFSET($H$3,0,0,'Données projet'!$E$13+1,1))</f>
        <v>403.33327536410098</v>
      </c>
      <c r="CZ80" s="60">
        <f t="shared" si="96"/>
        <v>218.26721063098552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2.9799999999999955</v>
      </c>
      <c r="DO80" s="13">
        <f>IF('Données projet'!$A$166&gt;35,DO79+DN80-DW79,IF(A80&lt;'Données projet'!$A$166,$DL$205^A80,IF(A80='Données projet'!$A$166,'Données projet'!$B$166,DO79+DN80-DW79)))</f>
        <v>285.66000000000031</v>
      </c>
      <c r="DP80" s="18">
        <f>DO80*VLOOKUP('Données projet'!$B$14,Paramètres!$A$1:$I$89,3,0)*VLOOKUP('Données projet'!$B$14,Paramètres!$A$1:$I$89,5,0)</f>
        <v>227.27109600000028</v>
      </c>
      <c r="DQ80" s="14">
        <f t="shared" si="97"/>
        <v>55.692219424173366</v>
      </c>
      <c r="DR80" s="22">
        <f t="shared" si="70"/>
        <v>492.82777436376904</v>
      </c>
      <c r="DS80" s="60">
        <f t="shared" si="71"/>
        <v>786.16110769710235</v>
      </c>
      <c r="DT80" s="60">
        <f ca="1">AVERAGE(OFFSET($DS$3,0,0,'Données projet'!$E$14+1,1))-AVERAGE(OFFSET($H$3,0,0,'Données projet'!$E$14+1,1))</f>
        <v>317.13087551964747</v>
      </c>
      <c r="DU80" s="60">
        <f t="shared" si="98"/>
        <v>293.43300041793185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2.2799999999999954</v>
      </c>
      <c r="EJ80" s="13">
        <f>IF('Données projet'!$A$192&gt;35,EJ79+EI80-ER79,IF(A80&lt;'Données projet'!$A$192,$EG$205^A80,IF(A80='Données projet'!$A$192,'Données projet'!$B$192,EJ79+EI80-ER79)))</f>
        <v>226.06000000000014</v>
      </c>
      <c r="EK80" s="18">
        <f>EJ80*VLOOKUP('Données projet'!$B$15,Paramètres!$A$1:$I$89,3,0)*VLOOKUP('Données projet'!$B$15,Paramètres!$A$1:$I$89,5,0)</f>
        <v>179.85333600000013</v>
      </c>
      <c r="EL80" s="14">
        <f t="shared" si="99"/>
        <v>45.289554580857747</v>
      </c>
      <c r="EM80" s="22">
        <f t="shared" si="73"/>
        <v>392.12386776166085</v>
      </c>
      <c r="EN80" s="60">
        <f t="shared" si="74"/>
        <v>685.45720109499416</v>
      </c>
      <c r="EO80" s="60">
        <f ca="1">AVERAGE(OFFSET($EN$3,0,0,'Données projet'!$E$15+1,1))-AVERAGE(OFFSET($H$3,0,0,'Données projet'!$E$15+1,1))</f>
        <v>253.03289960511904</v>
      </c>
      <c r="EP80" s="60">
        <f t="shared" si="100"/>
        <v>236.85088713056018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2.2799999999999954</v>
      </c>
      <c r="FE80" s="13">
        <f>IF('Données projet'!$A$218&gt;35,FE79+FD80-FM79,IF(A80&lt;'Données projet'!$A$218,$FB$205^A80,IF(A80='Données projet'!$A$218,'Données projet'!$B$218,FE79+FD80-FM79)))</f>
        <v>226.06000000000014</v>
      </c>
      <c r="FF80" s="18">
        <f>FE80*VLOOKUP('Données projet'!$B$16,Paramètres!$A$1:$I$89,3,0)*VLOOKUP('Données projet'!$B$16,Paramètres!$A$1:$I$89,5,0)</f>
        <v>197.48601600000015</v>
      </c>
      <c r="FG80" s="14">
        <f t="shared" si="101"/>
        <v>49.191264039259451</v>
      </c>
      <c r="FH80" s="22">
        <f t="shared" si="76"/>
        <v>429.62959606837711</v>
      </c>
      <c r="FI80" s="60">
        <f t="shared" si="77"/>
        <v>722.96292940171043</v>
      </c>
      <c r="FJ80" s="60">
        <f ca="1">AVERAGE(OFFSET($FI$3,0,0,'Données projet'!$E$16+1,1))-AVERAGE(OFFSET($H$3,0,0,'Données projet'!$E$16+1,1))</f>
        <v>274.38315511766132</v>
      </c>
      <c r="FK80" s="60">
        <f t="shared" si="102"/>
        <v>255.96663040027175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12.555555555555555</v>
      </c>
      <c r="FZ80" s="13">
        <f>IF('Données projet'!$A$244&gt;35,FZ79+FY80-GH79,IF(A80&lt;'Données projet'!$A$244,$FW$205^A80,IF(A80='Données projet'!$A$244,'Données projet'!$B$244,FZ79+FY80-GH79)))</f>
        <v>374.44444444444412</v>
      </c>
      <c r="GA80" s="18">
        <f>FZ80*VLOOKUP('Données projet'!$B$17,Paramètres!$A$1:$I$89,3,0)*VLOOKUP('Données projet'!$B$17,Paramètres!$A$1:$I$89,5,0)</f>
        <v>321.27333333333308</v>
      </c>
      <c r="GB80" s="14">
        <f t="shared" si="103"/>
        <v>75.618234159828049</v>
      </c>
      <c r="GC80" s="22">
        <f t="shared" si="79"/>
        <v>691.25281338392233</v>
      </c>
      <c r="GD80" s="60">
        <f t="shared" si="80"/>
        <v>984.58614671725559</v>
      </c>
      <c r="GE80" s="60">
        <f ca="1">AVERAGE(OFFSET($GD$3,0,0,'Données projet'!$E$17+1,1))-AVERAGE(OFFSET($H$3,0,0,'Données projet'!$E$17+1,1))</f>
        <v>445.81166342116865</v>
      </c>
      <c r="GF80" s="60">
        <f t="shared" si="104"/>
        <v>230.82970731138215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5.6843418860808015E-14</v>
      </c>
      <c r="GV80" s="18">
        <f>GU80*VLOOKUP('Données projet'!$B$18,Paramètres!$A$1:$I$89,3,0)*VLOOKUP('Données projet'!$B$18,Paramètres!$A$1:$I$89,5,0)</f>
        <v>4.4337866711430253E-14</v>
      </c>
      <c r="GW80" s="14">
        <f t="shared" si="105"/>
        <v>7.3222115536967035E-13</v>
      </c>
      <c r="GX80" s="22">
        <f t="shared" si="82"/>
        <v>1.3525069634579169E-12</v>
      </c>
      <c r="GY80" s="60">
        <f t="shared" si="83"/>
        <v>293.33333333333468</v>
      </c>
      <c r="GZ80" s="60">
        <f ca="1">AVERAGE(OFFSET($GY$3,0,0,'Données projet'!$E$18+1,1))-AVERAGE(OFFSET($H$3,0,0,'Données projet'!$E$18+1,1))</f>
        <v>289.19475369871481</v>
      </c>
      <c r="HA80" s="60">
        <f t="shared" si="106"/>
        <v>283.48738729114024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projet'!$B$18,Paramètres!$A$1:$I$89,3,0)*0.475*44/12</f>
        <v>0</v>
      </c>
      <c r="HH80" s="23">
        <f>EXP(-LN(2)/25)*HH79+(1-EXP(-LN(2)/25))/(LN(2)/25)*Calculateur!HC80*Calculateur!HE80*VLOOKUP('Données projet'!$B$18,Paramètres!$A$1:$I$89,3,0)*0.475*44/12</f>
        <v>0</v>
      </c>
      <c r="HI80" s="23">
        <f>EXP(-LN(2)/2)*HI79+(1-EXP(-LN(2)/2))/(LN(2)/2)*HC80*HF80*VLOOKUP('Données projet'!$B$18,Paramètres!$A$1:$I$89,3,0)*0.475*44/12</f>
        <v>0</v>
      </c>
      <c r="HJ80" s="24">
        <f t="shared" si="84"/>
        <v>0</v>
      </c>
    </row>
    <row r="81" spans="1:218" s="5" customFormat="1" x14ac:dyDescent="0.3">
      <c r="A81" s="11">
        <f t="shared" si="85"/>
        <v>78</v>
      </c>
      <c r="B81" s="75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8">
        <f t="shared" si="56"/>
        <v>256.66666666666669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248.99999999999989</v>
      </c>
      <c r="O81" s="14">
        <f>N81*VLOOKUP('Données projet'!$B$9,Paramètres!$A$1:$I$89,3,0)*VLOOKUP('Données projet'!$B$9,Paramètres!$A$1:$I$89,5,0)</f>
        <v>240.83279999999991</v>
      </c>
      <c r="P81" s="14">
        <f t="shared" si="87"/>
        <v>58.618675319436669</v>
      </c>
      <c r="Q81" s="22">
        <f t="shared" si="54"/>
        <v>521.5446528480187</v>
      </c>
      <c r="R81" s="60">
        <f t="shared" si="55"/>
        <v>814.87798618135207</v>
      </c>
      <c r="S81" s="60">
        <f ca="1">AVERAGE(OFFSET($R$3,0,0,'Données projet'!$E$9+1,1))-AVERAGE(OFFSET($H$3,0,0,'Données projet'!$E$9+1,1))</f>
        <v>456.86147223520601</v>
      </c>
      <c r="T81" s="60">
        <f t="shared" si="88"/>
        <v>244.45149244446094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1.1499999999999999</v>
      </c>
      <c r="AI81" s="14">
        <f>IF('Données projet'!$A$62&gt;35,AI80+AH81-AQ80,IF(A81&lt;'Données projet'!$A$62,$AF$205^A81,IF(A81='Données projet'!$A$62,'Données projet'!$B$62,AI80+AH81-AQ80)))</f>
        <v>176.70000000000024</v>
      </c>
      <c r="AJ81" s="14">
        <f>AI81*VLOOKUP('Données projet'!$B$10,Paramètres!$A$1:$I$89,3,0)*VLOOKUP('Données projet'!$B$10,Paramètres!$A$1:$I$89,5,0)</f>
        <v>115.77384000000016</v>
      </c>
      <c r="AK81" s="14">
        <f t="shared" si="89"/>
        <v>30.687269551860421</v>
      </c>
      <c r="AL81" s="22">
        <f t="shared" si="58"/>
        <v>255.08643246949046</v>
      </c>
      <c r="AM81" s="60">
        <f t="shared" si="59"/>
        <v>548.4197658028238</v>
      </c>
      <c r="AN81" s="60">
        <f ca="1">AVERAGE(OFFSET($AM$3,0,0,'Données projet'!$E$10+1,1))-AVERAGE(OFFSET($H$3,0,0,'Données projet'!$E$10+1,1))</f>
        <v>170.79567854714986</v>
      </c>
      <c r="AO81" s="60">
        <f t="shared" si="90"/>
        <v>155.92788004111191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-1.1368683772161603E-13</v>
      </c>
      <c r="BE81" s="14">
        <f>BD81*VLOOKUP('Données projet'!$B$11,Paramètres!$A$1:$I$89,3,0)*VLOOKUP('Données projet'!$B$11,Paramètres!$A$1:$I$89,5,0)</f>
        <v>-9.2222762759774927E-14</v>
      </c>
      <c r="BF81" s="14" t="e">
        <f t="shared" si="91"/>
        <v>#NUM!</v>
      </c>
      <c r="BG81" s="22" t="e">
        <f t="shared" si="61"/>
        <v>#NUM!</v>
      </c>
      <c r="BH81" s="60" t="e">
        <f t="shared" si="62"/>
        <v>#NUM!</v>
      </c>
      <c r="BI81" s="60">
        <f ca="1">AVERAGE(OFFSET($BH$3,0,0,'Données projet'!$E$11+1,1))-AVERAGE(OFFSET($H$3,0,0,'Données projet'!$E$11+1,1))</f>
        <v>256.19915261735281</v>
      </c>
      <c r="BJ81" s="60">
        <f t="shared" si="92"/>
        <v>297.47246687305056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3.8461538461538511</v>
      </c>
      <c r="BY81" s="13">
        <f>IF('Données projet'!$A$114&gt;35,BY80+BX81-CG80,IF(A81&lt;'Données projet'!$A$114,$BV$205^A81,IF(A81='Données projet'!$A$114,'Données projet'!$B$114,BY80+BX81-CG80)))</f>
        <v>198.71794871794862</v>
      </c>
      <c r="BZ81" s="14">
        <f>BY81*VLOOKUP('Données projet'!$B$12,Paramètres!$A$1:$I$89,3,0)*VLOOKUP('Données projet'!$B$12,Paramètres!$A$1:$I$89,5,0)</f>
        <v>189.09999999999991</v>
      </c>
      <c r="CA81" s="14">
        <f t="shared" si="93"/>
        <v>47.340920677804583</v>
      </c>
      <c r="CB81" s="22">
        <f t="shared" si="64"/>
        <v>411.80127018050945</v>
      </c>
      <c r="CC81" s="60">
        <f t="shared" si="65"/>
        <v>705.13460351384276</v>
      </c>
      <c r="CD81" s="60">
        <f ca="1">AVERAGE(OFFSET($CC$3,0,0,'Données projet'!$E$12+1,1))-AVERAGE(OFFSET($H$3,0,0,'Données projet'!$E$12+1,1))</f>
        <v>353.53401919391234</v>
      </c>
      <c r="CE81" s="60">
        <f t="shared" si="94"/>
        <v>244.7141066773861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6</v>
      </c>
      <c r="CT81" s="13">
        <f>IF('Données projet'!$A$140&gt;35,CT80+CS81-DB80,IF(A81&lt;'Données projet'!$A$140,$CQ$205^A81,IF(A81='Données projet'!$A$140,'Données projet'!$B$140,CT80+CS81-DB80)))</f>
        <v>248.99999999999989</v>
      </c>
      <c r="CU81" s="18">
        <f>CT81*VLOOKUP('Données projet'!$B$13,Paramètres!$A$1:$I$89,3,0)*VLOOKUP('Données projet'!$B$13,Paramètres!$A$1:$I$89,5,0)</f>
        <v>209.75759999999994</v>
      </c>
      <c r="CV81" s="14">
        <f t="shared" si="95"/>
        <v>51.88261163954845</v>
      </c>
      <c r="CW81" s="22">
        <f t="shared" si="67"/>
        <v>455.69003527221344</v>
      </c>
      <c r="CX81" s="60">
        <f t="shared" si="68"/>
        <v>749.02336860554669</v>
      </c>
      <c r="CY81" s="60">
        <f ca="1">AVERAGE(OFFSET($CX$3,0,0,'Données projet'!$E$13+1,1))-AVERAGE(OFFSET($H$3,0,0,'Données projet'!$E$13+1,1))</f>
        <v>403.33327536410098</v>
      </c>
      <c r="CZ81" s="60">
        <f t="shared" si="96"/>
        <v>218.26721063098552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2.9799999999999955</v>
      </c>
      <c r="DO81" s="13">
        <f>IF('Données projet'!$A$166&gt;35,DO80+DN81-DW80,IF(A81&lt;'Données projet'!$A$166,$DL$205^A81,IF(A81='Données projet'!$A$166,'Données projet'!$B$166,DO80+DN81-DW80)))</f>
        <v>288.64000000000033</v>
      </c>
      <c r="DP81" s="18">
        <f>DO81*VLOOKUP('Données projet'!$B$14,Paramètres!$A$1:$I$89,3,0)*VLOOKUP('Données projet'!$B$14,Paramètres!$A$1:$I$89,5,0)</f>
        <v>229.64198400000026</v>
      </c>
      <c r="DQ81" s="14">
        <f t="shared" si="97"/>
        <v>56.20526308447868</v>
      </c>
      <c r="DR81" s="22">
        <f t="shared" si="70"/>
        <v>497.85062200546753</v>
      </c>
      <c r="DS81" s="60">
        <f t="shared" si="71"/>
        <v>791.18395533880084</v>
      </c>
      <c r="DT81" s="60">
        <f ca="1">AVERAGE(OFFSET($DS$3,0,0,'Données projet'!$E$14+1,1))-AVERAGE(OFFSET($H$3,0,0,'Données projet'!$E$14+1,1))</f>
        <v>317.13087551964747</v>
      </c>
      <c r="DU81" s="60">
        <f t="shared" si="98"/>
        <v>293.43300041793185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2.2799999999999954</v>
      </c>
      <c r="EJ81" s="13">
        <f>IF('Données projet'!$A$192&gt;35,EJ80+EI81-ER80,IF(A81&lt;'Données projet'!$A$192,$EG$205^A81,IF(A81='Données projet'!$A$192,'Données projet'!$B$192,EJ80+EI81-ER80)))</f>
        <v>228.34000000000015</v>
      </c>
      <c r="EK81" s="18">
        <f>EJ81*VLOOKUP('Données projet'!$B$15,Paramètres!$A$1:$I$89,3,0)*VLOOKUP('Données projet'!$B$15,Paramètres!$A$1:$I$89,5,0)</f>
        <v>181.66730400000012</v>
      </c>
      <c r="EL81" s="14">
        <f t="shared" si="99"/>
        <v>45.692931299994072</v>
      </c>
      <c r="EM81" s="22">
        <f t="shared" si="73"/>
        <v>395.98574314748993</v>
      </c>
      <c r="EN81" s="60">
        <f t="shared" si="74"/>
        <v>689.31907648082324</v>
      </c>
      <c r="EO81" s="60">
        <f ca="1">AVERAGE(OFFSET($EN$3,0,0,'Données projet'!$E$15+1,1))-AVERAGE(OFFSET($H$3,0,0,'Données projet'!$E$15+1,1))</f>
        <v>253.03289960511904</v>
      </c>
      <c r="EP81" s="60">
        <f t="shared" si="100"/>
        <v>236.85088713056018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2.2799999999999954</v>
      </c>
      <c r="FE81" s="13">
        <f>IF('Données projet'!$A$218&gt;35,FE80+FD81-FM80,IF(A81&lt;'Données projet'!$A$218,$FB$205^A81,IF(A81='Données projet'!$A$218,'Données projet'!$B$218,FE80+FD81-FM80)))</f>
        <v>228.34000000000015</v>
      </c>
      <c r="FF81" s="18">
        <f>FE81*VLOOKUP('Données projet'!$B$16,Paramètres!$A$1:$I$89,3,0)*VLOOKUP('Données projet'!$B$16,Paramètres!$A$1:$I$89,5,0)</f>
        <v>199.47782400000014</v>
      </c>
      <c r="FG81" s="14">
        <f t="shared" si="101"/>
        <v>49.629391790392425</v>
      </c>
      <c r="FH81" s="22">
        <f t="shared" si="76"/>
        <v>433.86173416826705</v>
      </c>
      <c r="FI81" s="60">
        <f t="shared" si="77"/>
        <v>727.19506750160031</v>
      </c>
      <c r="FJ81" s="60">
        <f ca="1">AVERAGE(OFFSET($FI$3,0,0,'Données projet'!$E$16+1,1))-AVERAGE(OFFSET($H$3,0,0,'Données projet'!$E$16+1,1))</f>
        <v>274.38315511766132</v>
      </c>
      <c r="FK81" s="60">
        <f t="shared" si="102"/>
        <v>255.96663040027175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>
        <f>VLOOKUP(A81,'Données projet'!$A$243:$I$263,2,0)</f>
        <v>387</v>
      </c>
      <c r="FX81" s="13">
        <f>VLOOKUP(A81,'Données projet'!$A$243:$I$263,9,0)</f>
        <v>12.555555555555555</v>
      </c>
      <c r="FY81" s="13">
        <f t="array" ref="FY81">INDEX(FX:FX,MIN(IF(ISNUMBER(FX81:FX277),ROW(FX81:FX277),"")))</f>
        <v>12.555555555555555</v>
      </c>
      <c r="FZ81" s="13">
        <f>IF('Données projet'!$A$244&gt;35,FZ80+FY81-GH80,IF(A81&lt;'Données projet'!$A$244,$FW$205^A81,IF(A81='Données projet'!$A$244,'Données projet'!$B$244,FZ80+FY81-GH80)))</f>
        <v>386.99999999999966</v>
      </c>
      <c r="GA81" s="18">
        <f>FZ81*VLOOKUP('Données projet'!$B$17,Paramètres!$A$1:$I$89,3,0)*VLOOKUP('Données projet'!$B$17,Paramètres!$A$1:$I$89,5,0)</f>
        <v>332.04599999999971</v>
      </c>
      <c r="GB81" s="14">
        <f t="shared" si="103"/>
        <v>77.854342460208571</v>
      </c>
      <c r="GC81" s="22">
        <f t="shared" si="79"/>
        <v>713.90976311819611</v>
      </c>
      <c r="GD81" s="60">
        <f t="shared" si="80"/>
        <v>1007.2430964515295</v>
      </c>
      <c r="GE81" s="60">
        <f ca="1">AVERAGE(OFFSET($GD$3,0,0,'Données projet'!$E$17+1,1))-AVERAGE(OFFSET($H$3,0,0,'Données projet'!$E$17+1,1))</f>
        <v>445.81166342116865</v>
      </c>
      <c r="GF81" s="60">
        <f t="shared" si="104"/>
        <v>230.82970731138215</v>
      </c>
      <c r="GG81" s="16">
        <f>IF(ISNA(VLOOKUP(A81,'Données projet'!$A$243:$I$263,3,0)),0,VLOOKUP(A81,'Données projet'!$A$243:$I$263,3,0))</f>
        <v>9</v>
      </c>
      <c r="GH81" s="16">
        <f>IF(ISNA(VLOOKUP(A81,'Données projet'!$A$243:$I$263,4,0)),0,VLOOKUP(A81,'Données projet'!$A$243:$I$263,4,0))</f>
        <v>39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5.6843418860808015E-14</v>
      </c>
      <c r="GV81" s="18">
        <f>GU81*VLOOKUP('Données projet'!$B$18,Paramètres!$A$1:$I$89,3,0)*VLOOKUP('Données projet'!$B$18,Paramètres!$A$1:$I$89,5,0)</f>
        <v>4.4337866711430253E-14</v>
      </c>
      <c r="GW81" s="14">
        <f t="shared" si="105"/>
        <v>7.3222115536967035E-13</v>
      </c>
      <c r="GX81" s="22">
        <f t="shared" si="82"/>
        <v>1.3525069634579169E-12</v>
      </c>
      <c r="GY81" s="60">
        <f t="shared" si="83"/>
        <v>293.33333333333468</v>
      </c>
      <c r="GZ81" s="60">
        <f ca="1">AVERAGE(OFFSET($GY$3,0,0,'Données projet'!$E$18+1,1))-AVERAGE(OFFSET($H$3,0,0,'Données projet'!$E$18+1,1))</f>
        <v>289.19475369871481</v>
      </c>
      <c r="HA81" s="60">
        <f t="shared" si="106"/>
        <v>283.48738729114024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projet'!$B$18,Paramètres!$A$1:$I$89,3,0)*0.475*44/12</f>
        <v>0</v>
      </c>
      <c r="HH81" s="23">
        <f>EXP(-LN(2)/25)*HH80+(1-EXP(-LN(2)/25))/(LN(2)/25)*Calculateur!HC81*Calculateur!HE81*VLOOKUP('Données projet'!$B$18,Paramètres!$A$1:$I$89,3,0)*0.475*44/12</f>
        <v>0</v>
      </c>
      <c r="HI81" s="23">
        <f>EXP(-LN(2)/2)*HI80+(1-EXP(-LN(2)/2))/(LN(2)/2)*HC81*HF81*VLOOKUP('Données projet'!$B$18,Paramètres!$A$1:$I$89,3,0)*0.475*44/12</f>
        <v>0</v>
      </c>
      <c r="HJ81" s="24">
        <f t="shared" si="84"/>
        <v>0</v>
      </c>
    </row>
    <row r="82" spans="1:218" s="5" customFormat="1" x14ac:dyDescent="0.3">
      <c r="A82" s="11">
        <f t="shared" si="85"/>
        <v>79</v>
      </c>
      <c r="B82" s="75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8">
        <f t="shared" si="56"/>
        <v>256.66666666666669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254.99999999999989</v>
      </c>
      <c r="O82" s="14">
        <f>N82*VLOOKUP('Données projet'!$B$9,Paramètres!$A$1:$I$89,3,0)*VLOOKUP('Données projet'!$B$9,Paramètres!$A$1:$I$89,5,0)</f>
        <v>246.63599999999991</v>
      </c>
      <c r="P82" s="14">
        <f t="shared" si="87"/>
        <v>59.865023903294535</v>
      </c>
      <c r="Q82" s="22">
        <f t="shared" si="54"/>
        <v>533.82261663157112</v>
      </c>
      <c r="R82" s="60">
        <f t="shared" si="55"/>
        <v>827.15594996490449</v>
      </c>
      <c r="S82" s="60">
        <f ca="1">AVERAGE(OFFSET($R$3,0,0,'Données projet'!$E$9+1,1))-AVERAGE(OFFSET($H$3,0,0,'Données projet'!$E$9+1,1))</f>
        <v>456.86147223520601</v>
      </c>
      <c r="T82" s="60">
        <f t="shared" si="88"/>
        <v>244.45149244446094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1.1499999999999999</v>
      </c>
      <c r="AI82" s="14">
        <f>IF('Données projet'!$A$62&gt;35,AI81+AH82-AQ81,IF(A82&lt;'Données projet'!$A$62,$AF$205^A82,IF(A82='Données projet'!$A$62,'Données projet'!$B$62,AI81+AH82-AQ81)))</f>
        <v>177.85000000000025</v>
      </c>
      <c r="AJ82" s="14">
        <f>AI82*VLOOKUP('Données projet'!$B$10,Paramètres!$A$1:$I$89,3,0)*VLOOKUP('Données projet'!$B$10,Paramètres!$A$1:$I$89,5,0)</f>
        <v>116.52732000000016</v>
      </c>
      <c r="AK82" s="14">
        <f t="shared" si="89"/>
        <v>30.863674641473075</v>
      </c>
      <c r="AL82" s="22">
        <f t="shared" si="58"/>
        <v>256.70598233389921</v>
      </c>
      <c r="AM82" s="60">
        <f t="shared" si="59"/>
        <v>550.03931566723259</v>
      </c>
      <c r="AN82" s="60">
        <f ca="1">AVERAGE(OFFSET($AM$3,0,0,'Données projet'!$E$10+1,1))-AVERAGE(OFFSET($H$3,0,0,'Données projet'!$E$10+1,1))</f>
        <v>170.79567854714986</v>
      </c>
      <c r="AO82" s="60">
        <f t="shared" si="90"/>
        <v>155.92788004111191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-1.1368683772161603E-13</v>
      </c>
      <c r="BE82" s="14">
        <f>BD82*VLOOKUP('Données projet'!$B$11,Paramètres!$A$1:$I$89,3,0)*VLOOKUP('Données projet'!$B$11,Paramètres!$A$1:$I$89,5,0)</f>
        <v>-9.2222762759774927E-14</v>
      </c>
      <c r="BF82" s="14" t="e">
        <f t="shared" si="91"/>
        <v>#NUM!</v>
      </c>
      <c r="BG82" s="22" t="e">
        <f t="shared" si="61"/>
        <v>#NUM!</v>
      </c>
      <c r="BH82" s="60" t="e">
        <f t="shared" si="62"/>
        <v>#NUM!</v>
      </c>
      <c r="BI82" s="60">
        <f ca="1">AVERAGE(OFFSET($BH$3,0,0,'Données projet'!$E$11+1,1))-AVERAGE(OFFSET($H$3,0,0,'Données projet'!$E$11+1,1))</f>
        <v>256.19915261735281</v>
      </c>
      <c r="BJ82" s="60">
        <f t="shared" si="92"/>
        <v>297.47246687305056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3.8461538461538511</v>
      </c>
      <c r="BY82" s="13">
        <f>IF('Données projet'!$A$114&gt;35,BY81+BX82-CG81,IF(A82&lt;'Données projet'!$A$114,$BV$205^A82,IF(A82='Données projet'!$A$114,'Données projet'!$B$114,BY81+BX82-CG81)))</f>
        <v>202.56410256410246</v>
      </c>
      <c r="BZ82" s="14">
        <f>BY82*VLOOKUP('Données projet'!$B$12,Paramètres!$A$1:$I$89,3,0)*VLOOKUP('Données projet'!$B$12,Paramètres!$A$1:$I$89,5,0)</f>
        <v>192.75999999999991</v>
      </c>
      <c r="CA82" s="14">
        <f t="shared" si="93"/>
        <v>48.149636551965187</v>
      </c>
      <c r="CB82" s="22">
        <f t="shared" si="64"/>
        <v>419.58428366133921</v>
      </c>
      <c r="CC82" s="60">
        <f t="shared" si="65"/>
        <v>712.91761699467247</v>
      </c>
      <c r="CD82" s="60">
        <f ca="1">AVERAGE(OFFSET($CC$3,0,0,'Données projet'!$E$12+1,1))-AVERAGE(OFFSET($H$3,0,0,'Données projet'!$E$12+1,1))</f>
        <v>353.53401919391234</v>
      </c>
      <c r="CE82" s="60">
        <f t="shared" si="94"/>
        <v>244.7141066773861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6</v>
      </c>
      <c r="CT82" s="13">
        <f>IF('Données projet'!$A$140&gt;35,CT81+CS82-DB81,IF(A82&lt;'Données projet'!$A$140,$CQ$205^A82,IF(A82='Données projet'!$A$140,'Données projet'!$B$140,CT81+CS82-DB81)))</f>
        <v>254.99999999999989</v>
      </c>
      <c r="CU82" s="18">
        <f>CT82*VLOOKUP('Données projet'!$B$13,Paramètres!$A$1:$I$89,3,0)*VLOOKUP('Données projet'!$B$13,Paramètres!$A$1:$I$89,5,0)</f>
        <v>214.81199999999995</v>
      </c>
      <c r="CV82" s="14">
        <f t="shared" si="95"/>
        <v>52.985738231738054</v>
      </c>
      <c r="CW82" s="22">
        <f t="shared" si="67"/>
        <v>466.41439408694367</v>
      </c>
      <c r="CX82" s="60">
        <f t="shared" si="68"/>
        <v>759.74772742027699</v>
      </c>
      <c r="CY82" s="60">
        <f ca="1">AVERAGE(OFFSET($CX$3,0,0,'Données projet'!$E$13+1,1))-AVERAGE(OFFSET($H$3,0,0,'Données projet'!$E$13+1,1))</f>
        <v>403.33327536410098</v>
      </c>
      <c r="CZ82" s="60">
        <f t="shared" si="96"/>
        <v>218.26721063098552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2.9799999999999955</v>
      </c>
      <c r="DO82" s="13">
        <f>IF('Données projet'!$A$166&gt;35,DO81+DN82-DW81,IF(A82&lt;'Données projet'!$A$166,$DL$205^A82,IF(A82='Données projet'!$A$166,'Données projet'!$B$166,DO81+DN82-DW81)))</f>
        <v>291.62000000000035</v>
      </c>
      <c r="DP82" s="18">
        <f>DO82*VLOOKUP('Données projet'!$B$14,Paramètres!$A$1:$I$89,3,0)*VLOOKUP('Données projet'!$B$14,Paramètres!$A$1:$I$89,5,0)</f>
        <v>232.01287200000027</v>
      </c>
      <c r="DQ82" s="14">
        <f t="shared" si="97"/>
        <v>56.717690555297771</v>
      </c>
      <c r="DR82" s="22">
        <f t="shared" si="70"/>
        <v>502.87239645047742</v>
      </c>
      <c r="DS82" s="60">
        <f t="shared" si="71"/>
        <v>796.20572978381074</v>
      </c>
      <c r="DT82" s="60">
        <f ca="1">AVERAGE(OFFSET($DS$3,0,0,'Données projet'!$E$14+1,1))-AVERAGE(OFFSET($H$3,0,0,'Données projet'!$E$14+1,1))</f>
        <v>317.13087551964747</v>
      </c>
      <c r="DU82" s="60">
        <f t="shared" si="98"/>
        <v>293.43300041793185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2.2799999999999954</v>
      </c>
      <c r="EJ82" s="13">
        <f>IF('Données projet'!$A$192&gt;35,EJ81+EI82-ER81,IF(A82&lt;'Données projet'!$A$192,$EG$205^A82,IF(A82='Données projet'!$A$192,'Données projet'!$B$192,EJ81+EI82-ER81)))</f>
        <v>230.62000000000015</v>
      </c>
      <c r="EK82" s="18">
        <f>EJ82*VLOOKUP('Données projet'!$B$15,Paramètres!$A$1:$I$89,3,0)*VLOOKUP('Données projet'!$B$15,Paramètres!$A$1:$I$89,5,0)</f>
        <v>183.48127200000013</v>
      </c>
      <c r="EL82" s="14">
        <f t="shared" si="99"/>
        <v>46.095839451877069</v>
      </c>
      <c r="EM82" s="22">
        <f t="shared" si="73"/>
        <v>399.84680244535281</v>
      </c>
      <c r="EN82" s="60">
        <f t="shared" si="74"/>
        <v>693.18013577868612</v>
      </c>
      <c r="EO82" s="60">
        <f ca="1">AVERAGE(OFFSET($EN$3,0,0,'Données projet'!$E$15+1,1))-AVERAGE(OFFSET($H$3,0,0,'Données projet'!$E$15+1,1))</f>
        <v>253.03289960511904</v>
      </c>
      <c r="EP82" s="60">
        <f t="shared" si="100"/>
        <v>236.85088713056018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2.2799999999999954</v>
      </c>
      <c r="FE82" s="13">
        <f>IF('Données projet'!$A$218&gt;35,FE81+FD82-FM81,IF(A82&lt;'Données projet'!$A$218,$FB$205^A82,IF(A82='Données projet'!$A$218,'Données projet'!$B$218,FE81+FD82-FM81)))</f>
        <v>230.62000000000015</v>
      </c>
      <c r="FF82" s="18">
        <f>FE82*VLOOKUP('Données projet'!$B$16,Paramètres!$A$1:$I$89,3,0)*VLOOKUP('Données projet'!$B$16,Paramètres!$A$1:$I$89,5,0)</f>
        <v>201.46963200000013</v>
      </c>
      <c r="FG82" s="14">
        <f t="shared" si="101"/>
        <v>50.067010607054918</v>
      </c>
      <c r="FH82" s="22">
        <f t="shared" si="76"/>
        <v>438.09298587395421</v>
      </c>
      <c r="FI82" s="60">
        <f t="shared" si="77"/>
        <v>731.42631920728752</v>
      </c>
      <c r="FJ82" s="60">
        <f ca="1">AVERAGE(OFFSET($FI$3,0,0,'Données projet'!$E$16+1,1))-AVERAGE(OFFSET($H$3,0,0,'Données projet'!$E$16+1,1))</f>
        <v>274.38315511766132</v>
      </c>
      <c r="FK82" s="60">
        <f t="shared" si="102"/>
        <v>255.96663040027175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12</v>
      </c>
      <c r="FZ82" s="13">
        <f>IF('Données projet'!$A$244&gt;35,FZ81+FY82-GH81,IF(A82&lt;'Données projet'!$A$244,$FW$205^A82,IF(A82='Données projet'!$A$244,'Données projet'!$B$244,FZ81+FY82-GH81)))</f>
        <v>359.99999999999966</v>
      </c>
      <c r="GA82" s="18">
        <f>FZ82*VLOOKUP('Données projet'!$B$17,Paramètres!$A$1:$I$89,3,0)*VLOOKUP('Données projet'!$B$17,Paramètres!$A$1:$I$89,5,0)</f>
        <v>308.87999999999977</v>
      </c>
      <c r="GB82" s="14">
        <f t="shared" si="103"/>
        <v>73.034880345800715</v>
      </c>
      <c r="GC82" s="22">
        <f t="shared" si="79"/>
        <v>665.16841660226919</v>
      </c>
      <c r="GD82" s="60">
        <f t="shared" si="80"/>
        <v>958.50174993560245</v>
      </c>
      <c r="GE82" s="60">
        <f ca="1">AVERAGE(OFFSET($GD$3,0,0,'Données projet'!$E$17+1,1))-AVERAGE(OFFSET($H$3,0,0,'Données projet'!$E$17+1,1))</f>
        <v>445.81166342116865</v>
      </c>
      <c r="GF82" s="60">
        <f t="shared" si="104"/>
        <v>230.82970731138215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5.6843418860808015E-14</v>
      </c>
      <c r="GV82" s="18">
        <f>GU82*VLOOKUP('Données projet'!$B$18,Paramètres!$A$1:$I$89,3,0)*VLOOKUP('Données projet'!$B$18,Paramètres!$A$1:$I$89,5,0)</f>
        <v>4.4337866711430253E-14</v>
      </c>
      <c r="GW82" s="14">
        <f t="shared" si="105"/>
        <v>7.3222115536967035E-13</v>
      </c>
      <c r="GX82" s="22">
        <f t="shared" si="82"/>
        <v>1.3525069634579169E-12</v>
      </c>
      <c r="GY82" s="60">
        <f t="shared" si="83"/>
        <v>293.33333333333468</v>
      </c>
      <c r="GZ82" s="60">
        <f ca="1">AVERAGE(OFFSET($GY$3,0,0,'Données projet'!$E$18+1,1))-AVERAGE(OFFSET($H$3,0,0,'Données projet'!$E$18+1,1))</f>
        <v>289.19475369871481</v>
      </c>
      <c r="HA82" s="60">
        <f t="shared" si="106"/>
        <v>283.48738729114024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projet'!$B$18,Paramètres!$A$1:$I$89,3,0)*0.475*44/12</f>
        <v>0</v>
      </c>
      <c r="HH82" s="23">
        <f>EXP(-LN(2)/25)*HH81+(1-EXP(-LN(2)/25))/(LN(2)/25)*Calculateur!HC82*Calculateur!HE82*VLOOKUP('Données projet'!$B$18,Paramètres!$A$1:$I$89,3,0)*0.475*44/12</f>
        <v>0</v>
      </c>
      <c r="HI82" s="23">
        <f>EXP(-LN(2)/2)*HI81+(1-EXP(-LN(2)/2))/(LN(2)/2)*HC82*HF82*VLOOKUP('Données projet'!$B$18,Paramètres!$A$1:$I$89,3,0)*0.475*44/12</f>
        <v>0</v>
      </c>
      <c r="HJ82" s="24">
        <f t="shared" si="84"/>
        <v>0</v>
      </c>
    </row>
    <row r="83" spans="1:218" s="5" customFormat="1" x14ac:dyDescent="0.3">
      <c r="A83" s="11">
        <f t="shared" si="85"/>
        <v>80</v>
      </c>
      <c r="B83" s="75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8">
        <f t="shared" si="56"/>
        <v>256.66666666666669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261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260.99999999999989</v>
      </c>
      <c r="O83" s="14">
        <f>N83*VLOOKUP('Données projet'!$B$9,Paramètres!$A$1:$I$89,3,0)*VLOOKUP('Données projet'!$B$9,Paramètres!$A$1:$I$89,5,0)</f>
        <v>252.43919999999991</v>
      </c>
      <c r="P83" s="14">
        <f t="shared" si="87"/>
        <v>61.107963296116218</v>
      </c>
      <c r="Q83" s="22">
        <f t="shared" si="54"/>
        <v>546.09464274073559</v>
      </c>
      <c r="R83" s="60">
        <f t="shared" si="55"/>
        <v>839.42797607406897</v>
      </c>
      <c r="S83" s="60">
        <f ca="1">AVERAGE(OFFSET($R$3,0,0,'Données projet'!$E$9+1,1))-AVERAGE(OFFSET($H$3,0,0,'Données projet'!$E$9+1,1))</f>
        <v>456.86147223520601</v>
      </c>
      <c r="T83" s="60">
        <f t="shared" si="88"/>
        <v>244.45149244446094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179</v>
      </c>
      <c r="AG83" s="13">
        <f>VLOOKUP(A83,'Données projet'!$A$61:$I$81,9,0)</f>
        <v>1.1499999999999999</v>
      </c>
      <c r="AH83" s="13">
        <f t="array" ref="AH83">INDEX(AG:AG,MIN(IF(ISNUMBER(AG83:AG279),ROW(AG83:AG279),"")))</f>
        <v>1.1499999999999999</v>
      </c>
      <c r="AI83" s="14">
        <f>IF('Données projet'!$A$62&gt;35,AI82+AH83-AQ82,IF(A83&lt;'Données projet'!$A$62,$AF$205^A83,IF(A83='Données projet'!$A$62,'Données projet'!$B$62,AI82+AH83-AQ82)))</f>
        <v>179.00000000000026</v>
      </c>
      <c r="AJ83" s="14">
        <f>AI83*VLOOKUP('Données projet'!$B$10,Paramètres!$A$1:$I$89,3,0)*VLOOKUP('Données projet'!$B$10,Paramètres!$A$1:$I$89,5,0)</f>
        <v>117.28080000000017</v>
      </c>
      <c r="AK83" s="14">
        <f t="shared" si="89"/>
        <v>31.03994700758242</v>
      </c>
      <c r="AL83" s="22">
        <f t="shared" si="58"/>
        <v>258.32530103820631</v>
      </c>
      <c r="AM83" s="60">
        <f t="shared" si="59"/>
        <v>551.65863437153962</v>
      </c>
      <c r="AN83" s="60">
        <f ca="1">AVERAGE(OFFSET($AM$3,0,0,'Données projet'!$E$10+1,1))-AVERAGE(OFFSET($H$3,0,0,'Données projet'!$E$10+1,1))</f>
        <v>170.79567854714986</v>
      </c>
      <c r="AO83" s="60">
        <f t="shared" si="90"/>
        <v>155.92788004111191</v>
      </c>
      <c r="AP83" s="16">
        <f>IF(ISNA(VLOOKUP(A83,'Données projet'!$A$61:$I$81,3,0)),0,VLOOKUP(A83,'Données projet'!$A$61:$I$81,3,0))</f>
        <v>1</v>
      </c>
      <c r="AQ83" s="16">
        <f>IF(ISNA(VLOOKUP(A83,'Données projet'!$A$61:$I$81,4,0)),0,VLOOKUP(A83,'Données projet'!$A$61:$I$81,4,0))</f>
        <v>179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-1.1368683772161603E-13</v>
      </c>
      <c r="BE83" s="14">
        <f>BD83*VLOOKUP('Données projet'!$B$11,Paramètres!$A$1:$I$89,3,0)*VLOOKUP('Données projet'!$B$11,Paramètres!$A$1:$I$89,5,0)</f>
        <v>-9.2222762759774927E-14</v>
      </c>
      <c r="BF83" s="14" t="e">
        <f t="shared" si="91"/>
        <v>#NUM!</v>
      </c>
      <c r="BG83" s="22" t="e">
        <f t="shared" si="61"/>
        <v>#NUM!</v>
      </c>
      <c r="BH83" s="60" t="e">
        <f t="shared" si="62"/>
        <v>#NUM!</v>
      </c>
      <c r="BI83" s="60">
        <f ca="1">AVERAGE(OFFSET($BH$3,0,0,'Données projet'!$E$11+1,1))-AVERAGE(OFFSET($H$3,0,0,'Données projet'!$E$11+1,1))</f>
        <v>256.19915261735281</v>
      </c>
      <c r="BJ83" s="60">
        <f t="shared" si="92"/>
        <v>297.47246687305056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206.41025641025641</v>
      </c>
      <c r="BW83" s="13">
        <f>VLOOKUP(A83,'Données projet'!$A$113:$I$133,9,0)</f>
        <v>3.8461538461538511</v>
      </c>
      <c r="BX83" s="13">
        <f t="array" ref="BX83">INDEX(BW:BW,MIN(IF(ISNUMBER(BW83:BW279),ROW(BW83:BW279),"")))</f>
        <v>3.8461538461538511</v>
      </c>
      <c r="BY83" s="13">
        <f>IF('Données projet'!$A$114&gt;35,BY82+BX83-CG82,IF(A83&lt;'Données projet'!$A$114,$BV$205^A83,IF(A83='Données projet'!$A$114,'Données projet'!$B$114,BY82+BX83-CG82)))</f>
        <v>206.4102564102563</v>
      </c>
      <c r="BZ83" s="14">
        <f>BY83*VLOOKUP('Données projet'!$B$12,Paramètres!$A$1:$I$89,3,0)*VLOOKUP('Données projet'!$B$12,Paramètres!$A$1:$I$89,5,0)</f>
        <v>196.4199999999999</v>
      </c>
      <c r="CA83" s="14">
        <f t="shared" si="93"/>
        <v>48.956566921958114</v>
      </c>
      <c r="CB83" s="22">
        <f t="shared" si="64"/>
        <v>427.3641873890769</v>
      </c>
      <c r="CC83" s="60">
        <f t="shared" si="65"/>
        <v>720.69752072241022</v>
      </c>
      <c r="CD83" s="60">
        <f ca="1">AVERAGE(OFFSET($CC$3,0,0,'Données projet'!$E$12+1,1))-AVERAGE(OFFSET($H$3,0,0,'Données projet'!$E$12+1,1))</f>
        <v>353.53401919391234</v>
      </c>
      <c r="CE83" s="60">
        <f t="shared" si="94"/>
        <v>244.7141066773861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261</v>
      </c>
      <c r="CR83" s="13">
        <f>VLOOKUP(A83,'Données projet'!$A$139:$I$159,9,0)</f>
        <v>6</v>
      </c>
      <c r="CS83" s="13">
        <f t="array" ref="CS83">INDEX(CR:CR,MIN(IF(ISNUMBER(CR83:CR279),ROW(CR83:CR279),"")))</f>
        <v>6</v>
      </c>
      <c r="CT83" s="13">
        <f>IF('Données projet'!$A$140&gt;35,CT82+CS83-DB82,IF(A83&lt;'Données projet'!$A$140,$CQ$205^A83,IF(A83='Données projet'!$A$140,'Données projet'!$B$140,CT82+CS83-DB82)))</f>
        <v>260.99999999999989</v>
      </c>
      <c r="CU83" s="18">
        <f>CT83*VLOOKUP('Données projet'!$B$13,Paramètres!$A$1:$I$89,3,0)*VLOOKUP('Données projet'!$B$13,Paramètres!$A$1:$I$89,5,0)</f>
        <v>219.86639999999991</v>
      </c>
      <c r="CV83" s="14">
        <f t="shared" si="95"/>
        <v>54.085847394182416</v>
      </c>
      <c r="CW83" s="22">
        <f t="shared" si="67"/>
        <v>477.13349754486757</v>
      </c>
      <c r="CX83" s="60">
        <f t="shared" si="68"/>
        <v>770.46683087820088</v>
      </c>
      <c r="CY83" s="60">
        <f ca="1">AVERAGE(OFFSET($CX$3,0,0,'Données projet'!$E$13+1,1))-AVERAGE(OFFSET($H$3,0,0,'Données projet'!$E$13+1,1))</f>
        <v>403.33327536410098</v>
      </c>
      <c r="CZ83" s="60">
        <f t="shared" si="96"/>
        <v>218.26721063098552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294.60000000000002</v>
      </c>
      <c r="DM83" s="13">
        <f>VLOOKUP(A83,'Données projet'!$A$165:$I$185,9,0)</f>
        <v>2.9799999999999955</v>
      </c>
      <c r="DN83" s="13">
        <f t="array" ref="DN83">INDEX(DM:DM,MIN(IF(ISNUMBER(DM83:DM279),ROW(DM83:DM279),"")))</f>
        <v>2.9799999999999955</v>
      </c>
      <c r="DO83" s="13">
        <f>IF('Données projet'!$A$166&gt;35,DO82+DN83-DW82,IF(A83&lt;'Données projet'!$A$166,$DL$205^A83,IF(A83='Données projet'!$A$166,'Données projet'!$B$166,DO82+DN83-DW82)))</f>
        <v>294.60000000000036</v>
      </c>
      <c r="DP83" s="18">
        <f>DO83*VLOOKUP('Données projet'!$B$14,Paramètres!$A$1:$I$89,3,0)*VLOOKUP('Données projet'!$B$14,Paramètres!$A$1:$I$89,5,0)</f>
        <v>234.38376000000028</v>
      </c>
      <c r="DQ83" s="14">
        <f t="shared" si="97"/>
        <v>57.229508862336871</v>
      </c>
      <c r="DR83" s="22">
        <f t="shared" si="70"/>
        <v>507.89310993523713</v>
      </c>
      <c r="DS83" s="60">
        <f t="shared" si="71"/>
        <v>801.22644326857039</v>
      </c>
      <c r="DT83" s="60">
        <f ca="1">AVERAGE(OFFSET($DS$3,0,0,'Données projet'!$E$14+1,1))-AVERAGE(OFFSET($H$3,0,0,'Données projet'!$E$14+1,1))</f>
        <v>317.13087551964747</v>
      </c>
      <c r="DU83" s="60">
        <f t="shared" si="98"/>
        <v>293.43300041793185</v>
      </c>
      <c r="DV83" s="16">
        <f>IF(ISNA(VLOOKUP(A83,'Données projet'!$A$165:$I$185,3,0)),0,VLOOKUP(A83,'Données projet'!$A$165:$I$185,3,0))</f>
        <v>6</v>
      </c>
      <c r="DW83" s="16">
        <f>IF(ISNA(VLOOKUP(A83,'Données projet'!$A$165:$I$185,4,0)),0,VLOOKUP(A83,'Données projet'!$A$165:$I$185,4,0))</f>
        <v>294.60000000000002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232.89999999999998</v>
      </c>
      <c r="EH83" s="13">
        <f>VLOOKUP(A83,'Données projet'!$A$191:$I$211,9,0)</f>
        <v>2.2799999999999954</v>
      </c>
      <c r="EI83" s="13">
        <f t="array" ref="EI83">INDEX(EH:EH,MIN(IF(ISNUMBER(EH83:EH279),ROW(EH83:EH279),"")))</f>
        <v>2.2799999999999954</v>
      </c>
      <c r="EJ83" s="13">
        <f>IF('Données projet'!$A$192&gt;35,EJ82+EI83-ER82,IF(A83&lt;'Données projet'!$A$192,$EG$205^A83,IF(A83='Données projet'!$A$192,'Données projet'!$B$192,EJ82+EI83-ER82)))</f>
        <v>232.90000000000015</v>
      </c>
      <c r="EK83" s="18">
        <f>EJ83*VLOOKUP('Données projet'!$B$15,Paramètres!$A$1:$I$89,3,0)*VLOOKUP('Données projet'!$B$15,Paramètres!$A$1:$I$89,5,0)</f>
        <v>185.29524000000012</v>
      </c>
      <c r="EL83" s="14">
        <f t="shared" si="99"/>
        <v>46.49828420535745</v>
      </c>
      <c r="EM83" s="22">
        <f t="shared" si="73"/>
        <v>403.70705465766446</v>
      </c>
      <c r="EN83" s="60">
        <f t="shared" si="74"/>
        <v>697.04038799099771</v>
      </c>
      <c r="EO83" s="60">
        <f ca="1">AVERAGE(OFFSET($EN$3,0,0,'Données projet'!$E$15+1,1))-AVERAGE(OFFSET($H$3,0,0,'Données projet'!$E$15+1,1))</f>
        <v>253.03289960511904</v>
      </c>
      <c r="EP83" s="60">
        <f t="shared" si="100"/>
        <v>236.85088713056018</v>
      </c>
      <c r="EQ83" s="16">
        <f>IF(ISNA(VLOOKUP(A83,'Données projet'!$A$191:$I$211,3,0)),0,VLOOKUP(A83,'Données projet'!$A$191:$I$211,3,0))</f>
        <v>6</v>
      </c>
      <c r="ER83" s="16">
        <f>IF(ISNA(VLOOKUP(A83,'Données projet'!$A$191:$I$211,4,0)),0,VLOOKUP(A83,'Données projet'!$A$191:$I$211,4,0))</f>
        <v>232.89999999999998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232.89999999999998</v>
      </c>
      <c r="FC83" s="13">
        <f>VLOOKUP(A83,'Données projet'!$A$217:$I$237,9,0)</f>
        <v>2.2799999999999954</v>
      </c>
      <c r="FD83" s="13">
        <f t="array" ref="FD83">INDEX(FC:FC,MIN(IF(ISNUMBER(FC83:FC279),ROW(FC83:FC279),"")))</f>
        <v>2.2799999999999954</v>
      </c>
      <c r="FE83" s="13">
        <f>IF('Données projet'!$A$218&gt;35,FE82+FD83-FM82,IF(A83&lt;'Données projet'!$A$218,$FB$205^A83,IF(A83='Données projet'!$A$218,'Données projet'!$B$218,FE82+FD83-FM82)))</f>
        <v>232.90000000000015</v>
      </c>
      <c r="FF83" s="18">
        <f>FE83*VLOOKUP('Données projet'!$B$16,Paramètres!$A$1:$I$89,3,0)*VLOOKUP('Données projet'!$B$16,Paramètres!$A$1:$I$89,5,0)</f>
        <v>203.46144000000015</v>
      </c>
      <c r="FG83" s="14">
        <f t="shared" si="101"/>
        <v>50.504126103395784</v>
      </c>
      <c r="FH83" s="22">
        <f t="shared" si="76"/>
        <v>442.32336096341459</v>
      </c>
      <c r="FI83" s="60">
        <f t="shared" si="77"/>
        <v>735.6566942967479</v>
      </c>
      <c r="FJ83" s="60">
        <f ca="1">AVERAGE(OFFSET($FI$3,0,0,'Données projet'!$E$16+1,1))-AVERAGE(OFFSET($H$3,0,0,'Données projet'!$E$16+1,1))</f>
        <v>274.38315511766132</v>
      </c>
      <c r="FK83" s="60">
        <f t="shared" si="102"/>
        <v>255.96663040027175</v>
      </c>
      <c r="FL83" s="16">
        <f>IF(ISNA(VLOOKUP(A83,'Données projet'!$A$217:$I$237,3,0)),0,VLOOKUP(A83,'Données projet'!$A$217:$I$237,3,0))</f>
        <v>6</v>
      </c>
      <c r="FM83" s="16">
        <f>IF(ISNA(VLOOKUP(A83,'Données projet'!$A$217:$I$237,4,0)),0,VLOOKUP(A83,'Données projet'!$A$217:$I$237,4,0))</f>
        <v>232.89999999999998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12</v>
      </c>
      <c r="FZ83" s="13">
        <f>IF('Données projet'!$A$244&gt;35,FZ82+FY83-GH82,IF(A83&lt;'Données projet'!$A$244,$FW$205^A83,IF(A83='Données projet'!$A$244,'Données projet'!$B$244,FZ82+FY83-GH82)))</f>
        <v>371.99999999999966</v>
      </c>
      <c r="GA83" s="18">
        <f>FZ83*VLOOKUP('Données projet'!$B$17,Paramètres!$A$1:$I$89,3,0)*VLOOKUP('Données projet'!$B$17,Paramètres!$A$1:$I$89,5,0)</f>
        <v>319.17599999999976</v>
      </c>
      <c r="GB83" s="14">
        <f t="shared" si="103"/>
        <v>75.181878718947615</v>
      </c>
      <c r="GC83" s="22">
        <f t="shared" si="79"/>
        <v>686.8399721021666</v>
      </c>
      <c r="GD83" s="60">
        <f t="shared" si="80"/>
        <v>980.17330543549997</v>
      </c>
      <c r="GE83" s="60">
        <f ca="1">AVERAGE(OFFSET($GD$3,0,0,'Données projet'!$E$17+1,1))-AVERAGE(OFFSET($H$3,0,0,'Données projet'!$E$17+1,1))</f>
        <v>445.81166342116865</v>
      </c>
      <c r="GF83" s="60">
        <f t="shared" si="104"/>
        <v>230.82970731138215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5.6843418860808015E-14</v>
      </c>
      <c r="GV83" s="18">
        <f>GU83*VLOOKUP('Données projet'!$B$18,Paramètres!$A$1:$I$89,3,0)*VLOOKUP('Données projet'!$B$18,Paramètres!$A$1:$I$89,5,0)</f>
        <v>4.4337866711430253E-14</v>
      </c>
      <c r="GW83" s="14">
        <f t="shared" si="105"/>
        <v>7.3222115536967035E-13</v>
      </c>
      <c r="GX83" s="22">
        <f t="shared" si="82"/>
        <v>1.3525069634579169E-12</v>
      </c>
      <c r="GY83" s="60">
        <f t="shared" si="83"/>
        <v>293.33333333333468</v>
      </c>
      <c r="GZ83" s="60">
        <f ca="1">AVERAGE(OFFSET($GY$3,0,0,'Données projet'!$E$18+1,1))-AVERAGE(OFFSET($H$3,0,0,'Données projet'!$E$18+1,1))</f>
        <v>289.19475369871481</v>
      </c>
      <c r="HA83" s="60">
        <f t="shared" si="106"/>
        <v>283.48738729114024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projet'!$B$18,Paramètres!$A$1:$I$89,3,0)*0.475*44/12</f>
        <v>0</v>
      </c>
      <c r="HH83" s="23">
        <f>EXP(-LN(2)/25)*HH82+(1-EXP(-LN(2)/25))/(LN(2)/25)*Calculateur!HC83*Calculateur!HE83*VLOOKUP('Données projet'!$B$18,Paramètres!$A$1:$I$89,3,0)*0.475*44/12</f>
        <v>0</v>
      </c>
      <c r="HI83" s="23">
        <f>EXP(-LN(2)/2)*HI82+(1-EXP(-LN(2)/2))/(LN(2)/2)*HC83*HF83*VLOOKUP('Données projet'!$B$18,Paramètres!$A$1:$I$89,3,0)*0.475*44/12</f>
        <v>0</v>
      </c>
      <c r="HJ83" s="24">
        <f t="shared" si="84"/>
        <v>0</v>
      </c>
    </row>
    <row r="84" spans="1:218" s="5" customFormat="1" x14ac:dyDescent="0.3">
      <c r="A84" s="11">
        <f t="shared" si="85"/>
        <v>81</v>
      </c>
      <c r="B84" s="75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8">
        <f t="shared" si="56"/>
        <v>256.66666666666669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5.8</v>
      </c>
      <c r="N84" s="14">
        <f>IF('Données projet'!$A$36&gt;35,N83+M84-V83,IF(A84&lt;'Données projet'!$A$36,$K$205^A84,IF(A84='Données projet'!$A$36,'Données projet'!$B$36,N83+M84-V83)))</f>
        <v>266.7999999999999</v>
      </c>
      <c r="O84" s="14">
        <f>N84*VLOOKUP('Données projet'!$B$9,Paramètres!$A$1:$I$89,3,0)*VLOOKUP('Données projet'!$B$9,Paramètres!$A$1:$I$89,5,0)</f>
        <v>258.04895999999991</v>
      </c>
      <c r="P84" s="14">
        <f t="shared" si="87"/>
        <v>62.306312932555763</v>
      </c>
      <c r="Q84" s="22">
        <f t="shared" si="54"/>
        <v>557.95210035753439</v>
      </c>
      <c r="R84" s="60">
        <f t="shared" si="55"/>
        <v>851.28543369086765</v>
      </c>
      <c r="S84" s="60">
        <f ca="1">AVERAGE(OFFSET($R$3,0,0,'Données projet'!$E$9+1,1))-AVERAGE(OFFSET($H$3,0,0,'Données projet'!$E$9+1,1))</f>
        <v>456.86147223520601</v>
      </c>
      <c r="T84" s="60">
        <f t="shared" si="88"/>
        <v>244.45149244446094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2.5579538487363607E-13</v>
      </c>
      <c r="AJ84" s="14">
        <f>AI84*VLOOKUP('Données projet'!$B$10,Paramètres!$A$1:$I$89,3,0)*VLOOKUP('Données projet'!$B$10,Paramètres!$A$1:$I$89,5,0)</f>
        <v>1.6759713616920635E-13</v>
      </c>
      <c r="AK84" s="14">
        <f t="shared" si="89"/>
        <v>2.3709043131075133E-12</v>
      </c>
      <c r="AL84" s="22">
        <f t="shared" si="58"/>
        <v>4.4212233574902864E-12</v>
      </c>
      <c r="AM84" s="60">
        <f t="shared" si="59"/>
        <v>293.33333333333775</v>
      </c>
      <c r="AN84" s="60">
        <f ca="1">AVERAGE(OFFSET($AM$3,0,0,'Données projet'!$E$10+1,1))-AVERAGE(OFFSET($H$3,0,0,'Données projet'!$E$10+1,1))</f>
        <v>170.79567854714986</v>
      </c>
      <c r="AO84" s="60">
        <f t="shared" si="90"/>
        <v>155.92788004111191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-1.1368683772161603E-13</v>
      </c>
      <c r="BE84" s="14">
        <f>BD84*VLOOKUP('Données projet'!$B$11,Paramètres!$A$1:$I$89,3,0)*VLOOKUP('Données projet'!$B$11,Paramètres!$A$1:$I$89,5,0)</f>
        <v>-9.2222762759774927E-14</v>
      </c>
      <c r="BF84" s="14" t="e">
        <f t="shared" si="91"/>
        <v>#NUM!</v>
      </c>
      <c r="BG84" s="22" t="e">
        <f t="shared" si="61"/>
        <v>#NUM!</v>
      </c>
      <c r="BH84" s="60" t="e">
        <f t="shared" si="62"/>
        <v>#NUM!</v>
      </c>
      <c r="BI84" s="60">
        <f ca="1">AVERAGE(OFFSET($BH$3,0,0,'Données projet'!$E$11+1,1))-AVERAGE(OFFSET($H$3,0,0,'Données projet'!$E$11+1,1))</f>
        <v>256.19915261735281</v>
      </c>
      <c r="BJ84" s="60">
        <f t="shared" si="92"/>
        <v>297.47246687305056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3.7179487179487181</v>
      </c>
      <c r="BY84" s="13">
        <f>IF('Données projet'!$A$114&gt;35,BY83+BX84-CG83,IF(A84&lt;'Données projet'!$A$114,$BV$205^A84,IF(A84='Données projet'!$A$114,'Données projet'!$B$114,BY83+BX84-CG83)))</f>
        <v>210.12820512820502</v>
      </c>
      <c r="BZ84" s="14">
        <f>BY84*VLOOKUP('Données projet'!$B$12,Paramètres!$A$1:$I$89,3,0)*VLOOKUP('Données projet'!$B$12,Paramètres!$A$1:$I$89,5,0)</f>
        <v>199.95799999999991</v>
      </c>
      <c r="CA84" s="14">
        <f t="shared" si="93"/>
        <v>49.734937283774826</v>
      </c>
      <c r="CB84" s="22">
        <f t="shared" si="64"/>
        <v>434.88186576924096</v>
      </c>
      <c r="CC84" s="60">
        <f t="shared" si="65"/>
        <v>728.21519910257427</v>
      </c>
      <c r="CD84" s="60">
        <f ca="1">AVERAGE(OFFSET($CC$3,0,0,'Données projet'!$E$12+1,1))-AVERAGE(OFFSET($H$3,0,0,'Données projet'!$E$12+1,1))</f>
        <v>353.53401919391234</v>
      </c>
      <c r="CE84" s="60">
        <f t="shared" si="94"/>
        <v>244.7141066773861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5.8</v>
      </c>
      <c r="CT84" s="13">
        <f>IF('Données projet'!$A$140&gt;35,CT83+CS84-DB83,IF(A84&lt;'Données projet'!$A$140,$CQ$205^A84,IF(A84='Données projet'!$A$140,'Données projet'!$B$140,CT83+CS84-DB83)))</f>
        <v>266.7999999999999</v>
      </c>
      <c r="CU84" s="18">
        <f>CT84*VLOOKUP('Données projet'!$B$13,Paramètres!$A$1:$I$89,3,0)*VLOOKUP('Données projet'!$B$13,Paramètres!$A$1:$I$89,5,0)</f>
        <v>224.75231999999991</v>
      </c>
      <c r="CV84" s="14">
        <f t="shared" si="95"/>
        <v>55.146490754971083</v>
      </c>
      <c r="CW84" s="22">
        <f t="shared" si="67"/>
        <v>487.49042873157447</v>
      </c>
      <c r="CX84" s="60">
        <f t="shared" si="68"/>
        <v>780.82376206490778</v>
      </c>
      <c r="CY84" s="60">
        <f ca="1">AVERAGE(OFFSET($CX$3,0,0,'Données projet'!$E$13+1,1))-AVERAGE(OFFSET($H$3,0,0,'Données projet'!$E$13+1,1))</f>
        <v>403.33327536410098</v>
      </c>
      <c r="CZ84" s="60">
        <f t="shared" si="96"/>
        <v>218.26721063098552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3.4106051316484809E-13</v>
      </c>
      <c r="DP84" s="18">
        <f>DO84*VLOOKUP('Données projet'!$B$14,Paramètres!$A$1:$I$89,3,0)*VLOOKUP('Données projet'!$B$14,Paramètres!$A$1:$I$89,5,0)</f>
        <v>2.7134774427395314E-13</v>
      </c>
      <c r="DQ84" s="14">
        <f t="shared" si="97"/>
        <v>3.6292411711343559E-12</v>
      </c>
      <c r="DR84" s="22">
        <f t="shared" si="70"/>
        <v>6.7935256943361388E-12</v>
      </c>
      <c r="DS84" s="60">
        <f t="shared" si="71"/>
        <v>293.33333333334014</v>
      </c>
      <c r="DT84" s="60">
        <f ca="1">AVERAGE(OFFSET($DS$3,0,0,'Données projet'!$E$14+1,1))-AVERAGE(OFFSET($H$3,0,0,'Données projet'!$E$14+1,1))</f>
        <v>317.13087551964747</v>
      </c>
      <c r="DU84" s="60">
        <f t="shared" si="98"/>
        <v>293.43300041793185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1.7053025658242404E-13</v>
      </c>
      <c r="EK84" s="18">
        <f>EJ84*VLOOKUP('Données projet'!$B$15,Paramètres!$A$1:$I$89,3,0)*VLOOKUP('Données projet'!$B$15,Paramètres!$A$1:$I$89,5,0)</f>
        <v>1.3567387213697657E-13</v>
      </c>
      <c r="EL84" s="14">
        <f t="shared" si="99"/>
        <v>1.9670967679808581E-12</v>
      </c>
      <c r="EM84" s="22">
        <f t="shared" si="73"/>
        <v>3.6623255315385623E-12</v>
      </c>
      <c r="EN84" s="60">
        <f t="shared" si="74"/>
        <v>293.33333333333695</v>
      </c>
      <c r="EO84" s="60">
        <f ca="1">AVERAGE(OFFSET($EN$3,0,0,'Données projet'!$E$15+1,1))-AVERAGE(OFFSET($H$3,0,0,'Données projet'!$E$15+1,1))</f>
        <v>253.03289960511904</v>
      </c>
      <c r="EP84" s="60">
        <f t="shared" si="100"/>
        <v>236.85088713056018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1.7053025658242404E-13</v>
      </c>
      <c r="FF84" s="18">
        <f>FE84*VLOOKUP('Données projet'!$B$16,Paramètres!$A$1:$I$89,3,0)*VLOOKUP('Données projet'!$B$16,Paramètres!$A$1:$I$89,5,0)</f>
        <v>1.4897523215040567E-13</v>
      </c>
      <c r="FG84" s="14">
        <f t="shared" si="101"/>
        <v>2.136562777003313E-12</v>
      </c>
      <c r="FH84" s="22">
        <f t="shared" si="76"/>
        <v>3.9806453659427267E-12</v>
      </c>
      <c r="FI84" s="60">
        <f t="shared" si="77"/>
        <v>293.33333333333729</v>
      </c>
      <c r="FJ84" s="60">
        <f ca="1">AVERAGE(OFFSET($FI$3,0,0,'Données projet'!$E$16+1,1))-AVERAGE(OFFSET($H$3,0,0,'Données projet'!$E$16+1,1))</f>
        <v>274.38315511766132</v>
      </c>
      <c r="FK84" s="60">
        <f t="shared" si="102"/>
        <v>255.96663040027175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12</v>
      </c>
      <c r="FZ84" s="13">
        <f>IF('Données projet'!$A$244&gt;35,FZ83+FY84-GH83,IF(A84&lt;'Données projet'!$A$244,$FW$205^A84,IF(A84='Données projet'!$A$244,'Données projet'!$B$244,FZ83+FY84-GH83)))</f>
        <v>383.99999999999966</v>
      </c>
      <c r="GA84" s="18">
        <f>FZ84*VLOOKUP('Données projet'!$B$17,Paramètres!$A$1:$I$89,3,0)*VLOOKUP('Données projet'!$B$17,Paramètres!$A$1:$I$89,5,0)</f>
        <v>329.47199999999975</v>
      </c>
      <c r="GB84" s="14">
        <f t="shared" si="103"/>
        <v>77.320829101031876</v>
      </c>
      <c r="GC84" s="22">
        <f t="shared" si="79"/>
        <v>708.49751068429669</v>
      </c>
      <c r="GD84" s="60">
        <f t="shared" si="80"/>
        <v>1001.8308440176299</v>
      </c>
      <c r="GE84" s="60">
        <f ca="1">AVERAGE(OFFSET($GD$3,0,0,'Données projet'!$E$17+1,1))-AVERAGE(OFFSET($H$3,0,0,'Données projet'!$E$17+1,1))</f>
        <v>445.81166342116865</v>
      </c>
      <c r="GF84" s="60">
        <f t="shared" si="104"/>
        <v>230.82970731138215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5.6843418860808015E-14</v>
      </c>
      <c r="GV84" s="18">
        <f>GU84*VLOOKUP('Données projet'!$B$18,Paramètres!$A$1:$I$89,3,0)*VLOOKUP('Données projet'!$B$18,Paramètres!$A$1:$I$89,5,0)</f>
        <v>4.4337866711430253E-14</v>
      </c>
      <c r="GW84" s="14">
        <f t="shared" si="105"/>
        <v>7.3222115536967035E-13</v>
      </c>
      <c r="GX84" s="22">
        <f t="shared" si="82"/>
        <v>1.3525069634579169E-12</v>
      </c>
      <c r="GY84" s="60">
        <f t="shared" si="83"/>
        <v>293.33333333333468</v>
      </c>
      <c r="GZ84" s="60">
        <f ca="1">AVERAGE(OFFSET($GY$3,0,0,'Données projet'!$E$18+1,1))-AVERAGE(OFFSET($H$3,0,0,'Données projet'!$E$18+1,1))</f>
        <v>289.19475369871481</v>
      </c>
      <c r="HA84" s="60">
        <f t="shared" si="106"/>
        <v>283.48738729114024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projet'!$B$18,Paramètres!$A$1:$I$89,3,0)*0.475*44/12</f>
        <v>0</v>
      </c>
      <c r="HH84" s="23">
        <f>EXP(-LN(2)/25)*HH83+(1-EXP(-LN(2)/25))/(LN(2)/25)*Calculateur!HC84*Calculateur!HE84*VLOOKUP('Données projet'!$B$18,Paramètres!$A$1:$I$89,3,0)*0.475*44/12</f>
        <v>0</v>
      </c>
      <c r="HI84" s="23">
        <f>EXP(-LN(2)/2)*HI83+(1-EXP(-LN(2)/2))/(LN(2)/2)*HC84*HF84*VLOOKUP('Données projet'!$B$18,Paramètres!$A$1:$I$89,3,0)*0.475*44/12</f>
        <v>0</v>
      </c>
      <c r="HJ84" s="24">
        <f t="shared" si="84"/>
        <v>0</v>
      </c>
    </row>
    <row r="85" spans="1:218" s="5" customFormat="1" x14ac:dyDescent="0.3">
      <c r="A85" s="11">
        <f t="shared" si="85"/>
        <v>82</v>
      </c>
      <c r="B85" s="75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8">
        <f t="shared" si="56"/>
        <v>256.66666666666669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5.8</v>
      </c>
      <c r="N85" s="14">
        <f>IF('Données projet'!$A$36&gt;35,N84+M85-V84,IF(A85&lt;'Données projet'!$A$36,$K$205^A85,IF(A85='Données projet'!$A$36,'Données projet'!$B$36,N84+M85-V84)))</f>
        <v>272.59999999999991</v>
      </c>
      <c r="O85" s="14">
        <f>N85*VLOOKUP('Données projet'!$B$9,Paramètres!$A$1:$I$89,3,0)*VLOOKUP('Données projet'!$B$9,Paramètres!$A$1:$I$89,5,0)</f>
        <v>263.6587199999999</v>
      </c>
      <c r="P85" s="14">
        <f t="shared" si="87"/>
        <v>63.501633804581523</v>
      </c>
      <c r="Q85" s="22">
        <f t="shared" si="54"/>
        <v>569.80428287631264</v>
      </c>
      <c r="R85" s="60">
        <f t="shared" si="55"/>
        <v>863.13761620964601</v>
      </c>
      <c r="S85" s="60">
        <f ca="1">AVERAGE(OFFSET($R$3,0,0,'Données projet'!$E$9+1,1))-AVERAGE(OFFSET($H$3,0,0,'Données projet'!$E$9+1,1))</f>
        <v>456.86147223520601</v>
      </c>
      <c r="T85" s="60">
        <f t="shared" si="88"/>
        <v>244.45149244446094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2.5579538487363607E-13</v>
      </c>
      <c r="AJ85" s="14">
        <f>AI85*VLOOKUP('Données projet'!$B$10,Paramètres!$A$1:$I$89,3,0)*VLOOKUP('Données projet'!$B$10,Paramètres!$A$1:$I$89,5,0)</f>
        <v>1.6759713616920635E-13</v>
      </c>
      <c r="AK85" s="14">
        <f t="shared" si="89"/>
        <v>2.3709043131075133E-12</v>
      </c>
      <c r="AL85" s="22">
        <f t="shared" si="58"/>
        <v>4.4212233574902864E-12</v>
      </c>
      <c r="AM85" s="60">
        <f t="shared" si="59"/>
        <v>293.33333333333775</v>
      </c>
      <c r="AN85" s="60">
        <f ca="1">AVERAGE(OFFSET($AM$3,0,0,'Données projet'!$E$10+1,1))-AVERAGE(OFFSET($H$3,0,0,'Données projet'!$E$10+1,1))</f>
        <v>170.79567854714986</v>
      </c>
      <c r="AO85" s="60">
        <f t="shared" si="90"/>
        <v>155.92788004111191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-1.1368683772161603E-13</v>
      </c>
      <c r="BE85" s="14">
        <f>BD85*VLOOKUP('Données projet'!$B$11,Paramètres!$A$1:$I$89,3,0)*VLOOKUP('Données projet'!$B$11,Paramètres!$A$1:$I$89,5,0)</f>
        <v>-9.2222762759774927E-14</v>
      </c>
      <c r="BF85" s="14" t="e">
        <f t="shared" si="91"/>
        <v>#NUM!</v>
      </c>
      <c r="BG85" s="22" t="e">
        <f t="shared" si="61"/>
        <v>#NUM!</v>
      </c>
      <c r="BH85" s="60" t="e">
        <f t="shared" si="62"/>
        <v>#NUM!</v>
      </c>
      <c r="BI85" s="60">
        <f ca="1">AVERAGE(OFFSET($BH$3,0,0,'Données projet'!$E$11+1,1))-AVERAGE(OFFSET($H$3,0,0,'Données projet'!$E$11+1,1))</f>
        <v>256.19915261735281</v>
      </c>
      <c r="BJ85" s="60">
        <f t="shared" si="92"/>
        <v>297.47246687305056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3.7179487179487181</v>
      </c>
      <c r="BY85" s="13">
        <f>IF('Données projet'!$A$114&gt;35,BY84+BX85-CG84,IF(A85&lt;'Données projet'!$A$114,$BV$205^A85,IF(A85='Données projet'!$A$114,'Données projet'!$B$114,BY84+BX85-CG84)))</f>
        <v>213.84615384615375</v>
      </c>
      <c r="BZ85" s="14">
        <f>BY85*VLOOKUP('Données projet'!$B$12,Paramètres!$A$1:$I$89,3,0)*VLOOKUP('Données projet'!$B$12,Paramètres!$A$1:$I$89,5,0)</f>
        <v>203.4959999999999</v>
      </c>
      <c r="CA85" s="14">
        <f t="shared" si="93"/>
        <v>50.511706115422356</v>
      </c>
      <c r="CB85" s="22">
        <f t="shared" si="64"/>
        <v>442.39675481769376</v>
      </c>
      <c r="CC85" s="60">
        <f t="shared" si="65"/>
        <v>735.73008815102708</v>
      </c>
      <c r="CD85" s="60">
        <f ca="1">AVERAGE(OFFSET($CC$3,0,0,'Données projet'!$E$12+1,1))-AVERAGE(OFFSET($H$3,0,0,'Données projet'!$E$12+1,1))</f>
        <v>353.53401919391234</v>
      </c>
      <c r="CE85" s="60">
        <f t="shared" si="94"/>
        <v>244.7141066773861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5.8</v>
      </c>
      <c r="CT85" s="13">
        <f>IF('Données projet'!$A$140&gt;35,CT84+CS85-DB84,IF(A85&lt;'Données projet'!$A$140,$CQ$205^A85,IF(A85='Données projet'!$A$140,'Données projet'!$B$140,CT84+CS85-DB84)))</f>
        <v>272.59999999999991</v>
      </c>
      <c r="CU85" s="18">
        <f>CT85*VLOOKUP('Données projet'!$B$13,Paramètres!$A$1:$I$89,3,0)*VLOOKUP('Données projet'!$B$13,Paramètres!$A$1:$I$89,5,0)</f>
        <v>229.63823999999994</v>
      </c>
      <c r="CV85" s="14">
        <f t="shared" si="95"/>
        <v>56.204453396569633</v>
      </c>
      <c r="CW85" s="22">
        <f t="shared" si="67"/>
        <v>497.84269099902531</v>
      </c>
      <c r="CX85" s="60">
        <f t="shared" si="68"/>
        <v>791.17602433235857</v>
      </c>
      <c r="CY85" s="60">
        <f ca="1">AVERAGE(OFFSET($CX$3,0,0,'Données projet'!$E$13+1,1))-AVERAGE(OFFSET($H$3,0,0,'Données projet'!$E$13+1,1))</f>
        <v>403.33327536410098</v>
      </c>
      <c r="CZ85" s="60">
        <f t="shared" si="96"/>
        <v>218.26721063098552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3.4106051316484809E-13</v>
      </c>
      <c r="DP85" s="18">
        <f>DO85*VLOOKUP('Données projet'!$B$14,Paramètres!$A$1:$I$89,3,0)*VLOOKUP('Données projet'!$B$14,Paramètres!$A$1:$I$89,5,0)</f>
        <v>2.7134774427395314E-13</v>
      </c>
      <c r="DQ85" s="14">
        <f t="shared" si="97"/>
        <v>3.6292411711343559E-12</v>
      </c>
      <c r="DR85" s="22">
        <f t="shared" si="70"/>
        <v>6.7935256943361388E-12</v>
      </c>
      <c r="DS85" s="60">
        <f t="shared" si="71"/>
        <v>293.33333333334014</v>
      </c>
      <c r="DT85" s="60">
        <f ca="1">AVERAGE(OFFSET($DS$3,0,0,'Données projet'!$E$14+1,1))-AVERAGE(OFFSET($H$3,0,0,'Données projet'!$E$14+1,1))</f>
        <v>317.13087551964747</v>
      </c>
      <c r="DU85" s="60">
        <f t="shared" si="98"/>
        <v>293.43300041793185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1.7053025658242404E-13</v>
      </c>
      <c r="EK85" s="18">
        <f>EJ85*VLOOKUP('Données projet'!$B$15,Paramètres!$A$1:$I$89,3,0)*VLOOKUP('Données projet'!$B$15,Paramètres!$A$1:$I$89,5,0)</f>
        <v>1.3567387213697657E-13</v>
      </c>
      <c r="EL85" s="14">
        <f t="shared" si="99"/>
        <v>1.9670967679808581E-12</v>
      </c>
      <c r="EM85" s="22">
        <f t="shared" si="73"/>
        <v>3.6623255315385623E-12</v>
      </c>
      <c r="EN85" s="60">
        <f t="shared" si="74"/>
        <v>293.33333333333695</v>
      </c>
      <c r="EO85" s="60">
        <f ca="1">AVERAGE(OFFSET($EN$3,0,0,'Données projet'!$E$15+1,1))-AVERAGE(OFFSET($H$3,0,0,'Données projet'!$E$15+1,1))</f>
        <v>253.03289960511904</v>
      </c>
      <c r="EP85" s="60">
        <f t="shared" si="100"/>
        <v>236.85088713056018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1.7053025658242404E-13</v>
      </c>
      <c r="FF85" s="18">
        <f>FE85*VLOOKUP('Données projet'!$B$16,Paramètres!$A$1:$I$89,3,0)*VLOOKUP('Données projet'!$B$16,Paramètres!$A$1:$I$89,5,0)</f>
        <v>1.4897523215040567E-13</v>
      </c>
      <c r="FG85" s="14">
        <f t="shared" si="101"/>
        <v>2.136562777003313E-12</v>
      </c>
      <c r="FH85" s="22">
        <f t="shared" si="76"/>
        <v>3.9806453659427267E-12</v>
      </c>
      <c r="FI85" s="60">
        <f t="shared" si="77"/>
        <v>293.33333333333729</v>
      </c>
      <c r="FJ85" s="60">
        <f ca="1">AVERAGE(OFFSET($FI$3,0,0,'Données projet'!$E$16+1,1))-AVERAGE(OFFSET($H$3,0,0,'Données projet'!$E$16+1,1))</f>
        <v>274.38315511766132</v>
      </c>
      <c r="FK85" s="60">
        <f t="shared" si="102"/>
        <v>255.96663040027175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12</v>
      </c>
      <c r="FZ85" s="13">
        <f>IF('Données projet'!$A$244&gt;35,FZ84+FY85-GH84,IF(A85&lt;'Données projet'!$A$244,$FW$205^A85,IF(A85='Données projet'!$A$244,'Données projet'!$B$244,FZ84+FY85-GH84)))</f>
        <v>395.99999999999966</v>
      </c>
      <c r="GA85" s="18">
        <f>FZ85*VLOOKUP('Données projet'!$B$17,Paramètres!$A$1:$I$89,3,0)*VLOOKUP('Données projet'!$B$17,Paramètres!$A$1:$I$89,5,0)</f>
        <v>339.76799999999974</v>
      </c>
      <c r="GB85" s="14">
        <f t="shared" si="103"/>
        <v>79.452011848891914</v>
      </c>
      <c r="GC85" s="22">
        <f t="shared" si="79"/>
        <v>730.14152063681968</v>
      </c>
      <c r="GD85" s="60">
        <f t="shared" si="80"/>
        <v>1023.4748539701529</v>
      </c>
      <c r="GE85" s="60">
        <f ca="1">AVERAGE(OFFSET($GD$3,0,0,'Données projet'!$E$17+1,1))-AVERAGE(OFFSET($H$3,0,0,'Données projet'!$E$17+1,1))</f>
        <v>445.81166342116865</v>
      </c>
      <c r="GF85" s="60">
        <f t="shared" si="104"/>
        <v>230.82970731138215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5.6843418860808015E-14</v>
      </c>
      <c r="GV85" s="18">
        <f>GU85*VLOOKUP('Données projet'!$B$18,Paramètres!$A$1:$I$89,3,0)*VLOOKUP('Données projet'!$B$18,Paramètres!$A$1:$I$89,5,0)</f>
        <v>4.4337866711430253E-14</v>
      </c>
      <c r="GW85" s="14">
        <f t="shared" si="105"/>
        <v>7.3222115536967035E-13</v>
      </c>
      <c r="GX85" s="22">
        <f t="shared" si="82"/>
        <v>1.3525069634579169E-12</v>
      </c>
      <c r="GY85" s="60">
        <f t="shared" si="83"/>
        <v>293.33333333333468</v>
      </c>
      <c r="GZ85" s="60">
        <f ca="1">AVERAGE(OFFSET($GY$3,0,0,'Données projet'!$E$18+1,1))-AVERAGE(OFFSET($H$3,0,0,'Données projet'!$E$18+1,1))</f>
        <v>289.19475369871481</v>
      </c>
      <c r="HA85" s="60">
        <f t="shared" si="106"/>
        <v>283.48738729114024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projet'!$B$18,Paramètres!$A$1:$I$89,3,0)*0.475*44/12</f>
        <v>0</v>
      </c>
      <c r="HH85" s="23">
        <f>EXP(-LN(2)/25)*HH84+(1-EXP(-LN(2)/25))/(LN(2)/25)*Calculateur!HC85*Calculateur!HE85*VLOOKUP('Données projet'!$B$18,Paramètres!$A$1:$I$89,3,0)*0.475*44/12</f>
        <v>0</v>
      </c>
      <c r="HI85" s="23">
        <f>EXP(-LN(2)/2)*HI84+(1-EXP(-LN(2)/2))/(LN(2)/2)*HC85*HF85*VLOOKUP('Données projet'!$B$18,Paramètres!$A$1:$I$89,3,0)*0.475*44/12</f>
        <v>0</v>
      </c>
      <c r="HJ85" s="24">
        <f t="shared" si="84"/>
        <v>0</v>
      </c>
    </row>
    <row r="86" spans="1:218" s="5" customFormat="1" x14ac:dyDescent="0.3">
      <c r="A86" s="11">
        <f t="shared" si="85"/>
        <v>83</v>
      </c>
      <c r="B86" s="75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8">
        <f t="shared" si="56"/>
        <v>256.66666666666669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5.8</v>
      </c>
      <c r="N86" s="14">
        <f>IF('Données projet'!$A$36&gt;35,N85+M86-V85,IF(A86&lt;'Données projet'!$A$36,$K$205^A86,IF(A86='Données projet'!$A$36,'Données projet'!$B$36,N85+M86-V85)))</f>
        <v>278.39999999999992</v>
      </c>
      <c r="O86" s="14">
        <f>N86*VLOOKUP('Données projet'!$B$9,Paramètres!$A$1:$I$89,3,0)*VLOOKUP('Données projet'!$B$9,Paramètres!$A$1:$I$89,5,0)</f>
        <v>269.26847999999995</v>
      </c>
      <c r="P86" s="14">
        <f t="shared" si="87"/>
        <v>64.693997776951178</v>
      </c>
      <c r="Q86" s="22">
        <f t="shared" si="54"/>
        <v>581.65131546152315</v>
      </c>
      <c r="R86" s="60">
        <f t="shared" si="55"/>
        <v>874.98464879485641</v>
      </c>
      <c r="S86" s="60">
        <f ca="1">AVERAGE(OFFSET($R$3,0,0,'Données projet'!$E$9+1,1))-AVERAGE(OFFSET($H$3,0,0,'Données projet'!$E$9+1,1))</f>
        <v>456.86147223520601</v>
      </c>
      <c r="T86" s="60">
        <f t="shared" si="88"/>
        <v>244.45149244446094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2.5579538487363607E-13</v>
      </c>
      <c r="AJ86" s="14">
        <f>AI86*VLOOKUP('Données projet'!$B$10,Paramètres!$A$1:$I$89,3,0)*VLOOKUP('Données projet'!$B$10,Paramètres!$A$1:$I$89,5,0)</f>
        <v>1.6759713616920635E-13</v>
      </c>
      <c r="AK86" s="14">
        <f t="shared" si="89"/>
        <v>2.3709043131075133E-12</v>
      </c>
      <c r="AL86" s="22">
        <f t="shared" si="58"/>
        <v>4.4212233574902864E-12</v>
      </c>
      <c r="AM86" s="60">
        <f t="shared" si="59"/>
        <v>293.33333333333775</v>
      </c>
      <c r="AN86" s="60">
        <f ca="1">AVERAGE(OFFSET($AM$3,0,0,'Données projet'!$E$10+1,1))-AVERAGE(OFFSET($H$3,0,0,'Données projet'!$E$10+1,1))</f>
        <v>170.79567854714986</v>
      </c>
      <c r="AO86" s="60">
        <f t="shared" si="90"/>
        <v>155.92788004111191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-1.1368683772161603E-13</v>
      </c>
      <c r="BE86" s="14">
        <f>BD86*VLOOKUP('Données projet'!$B$11,Paramètres!$A$1:$I$89,3,0)*VLOOKUP('Données projet'!$B$11,Paramètres!$A$1:$I$89,5,0)</f>
        <v>-9.2222762759774927E-14</v>
      </c>
      <c r="BF86" s="14" t="e">
        <f t="shared" si="91"/>
        <v>#NUM!</v>
      </c>
      <c r="BG86" s="22" t="e">
        <f t="shared" si="61"/>
        <v>#NUM!</v>
      </c>
      <c r="BH86" s="60" t="e">
        <f t="shared" si="62"/>
        <v>#NUM!</v>
      </c>
      <c r="BI86" s="60">
        <f ca="1">AVERAGE(OFFSET($BH$3,0,0,'Données projet'!$E$11+1,1))-AVERAGE(OFFSET($H$3,0,0,'Données projet'!$E$11+1,1))</f>
        <v>256.19915261735281</v>
      </c>
      <c r="BJ86" s="60">
        <f t="shared" si="92"/>
        <v>297.47246687305056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3.7179487179487181</v>
      </c>
      <c r="BY86" s="13">
        <f>IF('Données projet'!$A$114&gt;35,BY85+BX86-CG85,IF(A86&lt;'Données projet'!$A$114,$BV$205^A86,IF(A86='Données projet'!$A$114,'Données projet'!$B$114,BY85+BX86-CG85)))</f>
        <v>217.56410256410248</v>
      </c>
      <c r="BZ86" s="14">
        <f>BY86*VLOOKUP('Données projet'!$B$12,Paramètres!$A$1:$I$89,3,0)*VLOOKUP('Données projet'!$B$12,Paramètres!$A$1:$I$89,5,0)</f>
        <v>207.03399999999993</v>
      </c>
      <c r="CA86" s="14">
        <f t="shared" si="93"/>
        <v>51.286904474053166</v>
      </c>
      <c r="CB86" s="22">
        <f t="shared" si="64"/>
        <v>449.90890862564248</v>
      </c>
      <c r="CC86" s="60">
        <f t="shared" si="65"/>
        <v>743.2422419589758</v>
      </c>
      <c r="CD86" s="60">
        <f ca="1">AVERAGE(OFFSET($CC$3,0,0,'Données projet'!$E$12+1,1))-AVERAGE(OFFSET($H$3,0,0,'Données projet'!$E$12+1,1))</f>
        <v>353.53401919391234</v>
      </c>
      <c r="CE86" s="60">
        <f t="shared" si="94"/>
        <v>244.7141066773861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5.8</v>
      </c>
      <c r="CT86" s="13">
        <f>IF('Données projet'!$A$140&gt;35,CT85+CS86-DB85,IF(A86&lt;'Données projet'!$A$140,$CQ$205^A86,IF(A86='Données projet'!$A$140,'Données projet'!$B$140,CT85+CS86-DB85)))</f>
        <v>278.39999999999992</v>
      </c>
      <c r="CU86" s="18">
        <f>CT86*VLOOKUP('Données projet'!$B$13,Paramètres!$A$1:$I$89,3,0)*VLOOKUP('Données projet'!$B$13,Paramètres!$A$1:$I$89,5,0)</f>
        <v>234.52415999999994</v>
      </c>
      <c r="CV86" s="14">
        <f t="shared" si="95"/>
        <v>57.25979892552148</v>
      </c>
      <c r="CW86" s="22">
        <f t="shared" si="67"/>
        <v>508.19039512861644</v>
      </c>
      <c r="CX86" s="60">
        <f t="shared" si="68"/>
        <v>801.52372846194976</v>
      </c>
      <c r="CY86" s="60">
        <f ca="1">AVERAGE(OFFSET($CX$3,0,0,'Données projet'!$E$13+1,1))-AVERAGE(OFFSET($H$3,0,0,'Données projet'!$E$13+1,1))</f>
        <v>403.33327536410098</v>
      </c>
      <c r="CZ86" s="60">
        <f t="shared" si="96"/>
        <v>218.26721063098552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3.4106051316484809E-13</v>
      </c>
      <c r="DP86" s="18">
        <f>DO86*VLOOKUP('Données projet'!$B$14,Paramètres!$A$1:$I$89,3,0)*VLOOKUP('Données projet'!$B$14,Paramètres!$A$1:$I$89,5,0)</f>
        <v>2.7134774427395314E-13</v>
      </c>
      <c r="DQ86" s="14">
        <f t="shared" si="97"/>
        <v>3.6292411711343559E-12</v>
      </c>
      <c r="DR86" s="22">
        <f t="shared" si="70"/>
        <v>6.7935256943361388E-12</v>
      </c>
      <c r="DS86" s="60">
        <f t="shared" si="71"/>
        <v>293.33333333334014</v>
      </c>
      <c r="DT86" s="60">
        <f ca="1">AVERAGE(OFFSET($DS$3,0,0,'Données projet'!$E$14+1,1))-AVERAGE(OFFSET($H$3,0,0,'Données projet'!$E$14+1,1))</f>
        <v>317.13087551964747</v>
      </c>
      <c r="DU86" s="60">
        <f t="shared" si="98"/>
        <v>293.43300041793185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1.7053025658242404E-13</v>
      </c>
      <c r="EK86" s="18">
        <f>EJ86*VLOOKUP('Données projet'!$B$15,Paramètres!$A$1:$I$89,3,0)*VLOOKUP('Données projet'!$B$15,Paramètres!$A$1:$I$89,5,0)</f>
        <v>1.3567387213697657E-13</v>
      </c>
      <c r="EL86" s="14">
        <f t="shared" si="99"/>
        <v>1.9670967679808581E-12</v>
      </c>
      <c r="EM86" s="22">
        <f t="shared" si="73"/>
        <v>3.6623255315385623E-12</v>
      </c>
      <c r="EN86" s="60">
        <f t="shared" si="74"/>
        <v>293.33333333333695</v>
      </c>
      <c r="EO86" s="60">
        <f ca="1">AVERAGE(OFFSET($EN$3,0,0,'Données projet'!$E$15+1,1))-AVERAGE(OFFSET($H$3,0,0,'Données projet'!$E$15+1,1))</f>
        <v>253.03289960511904</v>
      </c>
      <c r="EP86" s="60">
        <f t="shared" si="100"/>
        <v>236.85088713056018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1.7053025658242404E-13</v>
      </c>
      <c r="FF86" s="18">
        <f>FE86*VLOOKUP('Données projet'!$B$16,Paramètres!$A$1:$I$89,3,0)*VLOOKUP('Données projet'!$B$16,Paramètres!$A$1:$I$89,5,0)</f>
        <v>1.4897523215040567E-13</v>
      </c>
      <c r="FG86" s="14">
        <f t="shared" si="101"/>
        <v>2.136562777003313E-12</v>
      </c>
      <c r="FH86" s="22">
        <f t="shared" si="76"/>
        <v>3.9806453659427267E-12</v>
      </c>
      <c r="FI86" s="60">
        <f t="shared" si="77"/>
        <v>293.33333333333729</v>
      </c>
      <c r="FJ86" s="60">
        <f ca="1">AVERAGE(OFFSET($FI$3,0,0,'Données projet'!$E$16+1,1))-AVERAGE(OFFSET($H$3,0,0,'Données projet'!$E$16+1,1))</f>
        <v>274.38315511766132</v>
      </c>
      <c r="FK86" s="60">
        <f t="shared" si="102"/>
        <v>255.96663040027175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12</v>
      </c>
      <c r="FZ86" s="13">
        <f>IF('Données projet'!$A$244&gt;35,FZ85+FY86-GH85,IF(A86&lt;'Données projet'!$A$244,$FW$205^A86,IF(A86='Données projet'!$A$244,'Données projet'!$B$244,FZ85+FY86-GH85)))</f>
        <v>407.99999999999966</v>
      </c>
      <c r="GA86" s="18">
        <f>FZ86*VLOOKUP('Données projet'!$B$17,Paramètres!$A$1:$I$89,3,0)*VLOOKUP('Données projet'!$B$17,Paramètres!$A$1:$I$89,5,0)</f>
        <v>350.06399999999974</v>
      </c>
      <c r="GB86" s="14">
        <f t="shared" si="103"/>
        <v>81.575689362490451</v>
      </c>
      <c r="GC86" s="22">
        <f t="shared" si="79"/>
        <v>751.77245897300372</v>
      </c>
      <c r="GD86" s="60">
        <f t="shared" si="80"/>
        <v>1045.105792306337</v>
      </c>
      <c r="GE86" s="60">
        <f ca="1">AVERAGE(OFFSET($GD$3,0,0,'Données projet'!$E$17+1,1))-AVERAGE(OFFSET($H$3,0,0,'Données projet'!$E$17+1,1))</f>
        <v>445.81166342116865</v>
      </c>
      <c r="GF86" s="60">
        <f t="shared" si="104"/>
        <v>230.82970731138215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5.6843418860808015E-14</v>
      </c>
      <c r="GV86" s="18">
        <f>GU86*VLOOKUP('Données projet'!$B$18,Paramètres!$A$1:$I$89,3,0)*VLOOKUP('Données projet'!$B$18,Paramètres!$A$1:$I$89,5,0)</f>
        <v>4.4337866711430253E-14</v>
      </c>
      <c r="GW86" s="14">
        <f t="shared" si="105"/>
        <v>7.3222115536967035E-13</v>
      </c>
      <c r="GX86" s="22">
        <f t="shared" si="82"/>
        <v>1.3525069634579169E-12</v>
      </c>
      <c r="GY86" s="60">
        <f t="shared" si="83"/>
        <v>293.33333333333468</v>
      </c>
      <c r="GZ86" s="60">
        <f ca="1">AVERAGE(OFFSET($GY$3,0,0,'Données projet'!$E$18+1,1))-AVERAGE(OFFSET($H$3,0,0,'Données projet'!$E$18+1,1))</f>
        <v>289.19475369871481</v>
      </c>
      <c r="HA86" s="60">
        <f t="shared" si="106"/>
        <v>283.48738729114024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projet'!$B$18,Paramètres!$A$1:$I$89,3,0)*0.475*44/12</f>
        <v>0</v>
      </c>
      <c r="HH86" s="23">
        <f>EXP(-LN(2)/25)*HH85+(1-EXP(-LN(2)/25))/(LN(2)/25)*Calculateur!HC86*Calculateur!HE86*VLOOKUP('Données projet'!$B$18,Paramètres!$A$1:$I$89,3,0)*0.475*44/12</f>
        <v>0</v>
      </c>
      <c r="HI86" s="23">
        <f>EXP(-LN(2)/2)*HI85+(1-EXP(-LN(2)/2))/(LN(2)/2)*HC86*HF86*VLOOKUP('Données projet'!$B$18,Paramètres!$A$1:$I$89,3,0)*0.475*44/12</f>
        <v>0</v>
      </c>
      <c r="HJ86" s="24">
        <f t="shared" si="84"/>
        <v>0</v>
      </c>
    </row>
    <row r="87" spans="1:218" s="5" customFormat="1" x14ac:dyDescent="0.3">
      <c r="A87" s="11">
        <f t="shared" si="85"/>
        <v>84</v>
      </c>
      <c r="B87" s="75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8">
        <f t="shared" si="56"/>
        <v>256.66666666666669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5.8</v>
      </c>
      <c r="N87" s="14">
        <f>IF('Données projet'!$A$36&gt;35,N86+M87-V86,IF(A87&lt;'Données projet'!$A$36,$K$205^A87,IF(A87='Données projet'!$A$36,'Données projet'!$B$36,N86+M87-V86)))</f>
        <v>284.19999999999993</v>
      </c>
      <c r="O87" s="14">
        <f>N87*VLOOKUP('Données projet'!$B$9,Paramètres!$A$1:$I$89,3,0)*VLOOKUP('Données projet'!$B$9,Paramètres!$A$1:$I$89,5,0)</f>
        <v>274.87823999999995</v>
      </c>
      <c r="P87" s="14">
        <f t="shared" si="87"/>
        <v>65.883473548937019</v>
      </c>
      <c r="Q87" s="22">
        <f t="shared" si="54"/>
        <v>593.49331776439851</v>
      </c>
      <c r="R87" s="60">
        <f t="shared" si="55"/>
        <v>886.82665109773188</v>
      </c>
      <c r="S87" s="60">
        <f ca="1">AVERAGE(OFFSET($R$3,0,0,'Données projet'!$E$9+1,1))-AVERAGE(OFFSET($H$3,0,0,'Données projet'!$E$9+1,1))</f>
        <v>456.86147223520601</v>
      </c>
      <c r="T87" s="60">
        <f t="shared" si="88"/>
        <v>244.45149244446094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2.5579538487363607E-13</v>
      </c>
      <c r="AJ87" s="14">
        <f>AI87*VLOOKUP('Données projet'!$B$10,Paramètres!$A$1:$I$89,3,0)*VLOOKUP('Données projet'!$B$10,Paramètres!$A$1:$I$89,5,0)</f>
        <v>1.6759713616920635E-13</v>
      </c>
      <c r="AK87" s="14">
        <f t="shared" si="89"/>
        <v>2.3709043131075133E-12</v>
      </c>
      <c r="AL87" s="22">
        <f t="shared" si="58"/>
        <v>4.4212233574902864E-12</v>
      </c>
      <c r="AM87" s="60">
        <f t="shared" si="59"/>
        <v>293.33333333333775</v>
      </c>
      <c r="AN87" s="60">
        <f ca="1">AVERAGE(OFFSET($AM$3,0,0,'Données projet'!$E$10+1,1))-AVERAGE(OFFSET($H$3,0,0,'Données projet'!$E$10+1,1))</f>
        <v>170.79567854714986</v>
      </c>
      <c r="AO87" s="60">
        <f t="shared" si="90"/>
        <v>155.92788004111191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-1.1368683772161603E-13</v>
      </c>
      <c r="BE87" s="14">
        <f>BD87*VLOOKUP('Données projet'!$B$11,Paramètres!$A$1:$I$89,3,0)*VLOOKUP('Données projet'!$B$11,Paramètres!$A$1:$I$89,5,0)</f>
        <v>-9.2222762759774927E-14</v>
      </c>
      <c r="BF87" s="14" t="e">
        <f t="shared" si="91"/>
        <v>#NUM!</v>
      </c>
      <c r="BG87" s="22" t="e">
        <f t="shared" si="61"/>
        <v>#NUM!</v>
      </c>
      <c r="BH87" s="60" t="e">
        <f t="shared" si="62"/>
        <v>#NUM!</v>
      </c>
      <c r="BI87" s="60">
        <f ca="1">AVERAGE(OFFSET($BH$3,0,0,'Données projet'!$E$11+1,1))-AVERAGE(OFFSET($H$3,0,0,'Données projet'!$E$11+1,1))</f>
        <v>256.19915261735281</v>
      </c>
      <c r="BJ87" s="60">
        <f t="shared" si="92"/>
        <v>297.47246687305056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3.7179487179487181</v>
      </c>
      <c r="BY87" s="13">
        <f>IF('Données projet'!$A$114&gt;35,BY86+BX87-CG86,IF(A87&lt;'Données projet'!$A$114,$BV$205^A87,IF(A87='Données projet'!$A$114,'Données projet'!$B$114,BY86+BX87-CG86)))</f>
        <v>221.28205128205121</v>
      </c>
      <c r="BZ87" s="14">
        <f>BY87*VLOOKUP('Données projet'!$B$12,Paramètres!$A$1:$I$89,3,0)*VLOOKUP('Données projet'!$B$12,Paramètres!$A$1:$I$89,5,0)</f>
        <v>210.57199999999992</v>
      </c>
      <c r="CA87" s="14">
        <f t="shared" si="93"/>
        <v>52.060562294525134</v>
      </c>
      <c r="CB87" s="22">
        <f t="shared" si="64"/>
        <v>457.41837932963108</v>
      </c>
      <c r="CC87" s="60">
        <f t="shared" si="65"/>
        <v>750.75171266296434</v>
      </c>
      <c r="CD87" s="60">
        <f ca="1">AVERAGE(OFFSET($CC$3,0,0,'Données projet'!$E$12+1,1))-AVERAGE(OFFSET($H$3,0,0,'Données projet'!$E$12+1,1))</f>
        <v>353.53401919391234</v>
      </c>
      <c r="CE87" s="60">
        <f t="shared" si="94"/>
        <v>244.7141066773861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5.8</v>
      </c>
      <c r="CT87" s="13">
        <f>IF('Données projet'!$A$140&gt;35,CT86+CS87-DB86,IF(A87&lt;'Données projet'!$A$140,$CQ$205^A87,IF(A87='Données projet'!$A$140,'Données projet'!$B$140,CT86+CS87-DB86)))</f>
        <v>284.19999999999993</v>
      </c>
      <c r="CU87" s="18">
        <f>CT87*VLOOKUP('Données projet'!$B$13,Paramètres!$A$1:$I$89,3,0)*VLOOKUP('Données projet'!$B$13,Paramètres!$A$1:$I$89,5,0)</f>
        <v>239.41007999999994</v>
      </c>
      <c r="CV87" s="14">
        <f t="shared" si="95"/>
        <v>58.312588146640756</v>
      </c>
      <c r="CW87" s="22">
        <f t="shared" si="67"/>
        <v>518.53364702206579</v>
      </c>
      <c r="CX87" s="60">
        <f t="shared" si="68"/>
        <v>811.86698035539916</v>
      </c>
      <c r="CY87" s="60">
        <f ca="1">AVERAGE(OFFSET($CX$3,0,0,'Données projet'!$E$13+1,1))-AVERAGE(OFFSET($H$3,0,0,'Données projet'!$E$13+1,1))</f>
        <v>403.33327536410098</v>
      </c>
      <c r="CZ87" s="60">
        <f t="shared" si="96"/>
        <v>218.26721063098552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3.4106051316484809E-13</v>
      </c>
      <c r="DP87" s="18">
        <f>DO87*VLOOKUP('Données projet'!$B$14,Paramètres!$A$1:$I$89,3,0)*VLOOKUP('Données projet'!$B$14,Paramètres!$A$1:$I$89,5,0)</f>
        <v>2.7134774427395314E-13</v>
      </c>
      <c r="DQ87" s="14">
        <f t="shared" si="97"/>
        <v>3.6292411711343559E-12</v>
      </c>
      <c r="DR87" s="22">
        <f t="shared" si="70"/>
        <v>6.7935256943361388E-12</v>
      </c>
      <c r="DS87" s="60">
        <f t="shared" si="71"/>
        <v>293.33333333334014</v>
      </c>
      <c r="DT87" s="60">
        <f ca="1">AVERAGE(OFFSET($DS$3,0,0,'Données projet'!$E$14+1,1))-AVERAGE(OFFSET($H$3,0,0,'Données projet'!$E$14+1,1))</f>
        <v>317.13087551964747</v>
      </c>
      <c r="DU87" s="60">
        <f t="shared" si="98"/>
        <v>293.43300041793185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1.7053025658242404E-13</v>
      </c>
      <c r="EK87" s="18">
        <f>EJ87*VLOOKUP('Données projet'!$B$15,Paramètres!$A$1:$I$89,3,0)*VLOOKUP('Données projet'!$B$15,Paramètres!$A$1:$I$89,5,0)</f>
        <v>1.3567387213697657E-13</v>
      </c>
      <c r="EL87" s="14">
        <f t="shared" si="99"/>
        <v>1.9670967679808581E-12</v>
      </c>
      <c r="EM87" s="22">
        <f t="shared" si="73"/>
        <v>3.6623255315385623E-12</v>
      </c>
      <c r="EN87" s="60">
        <f t="shared" si="74"/>
        <v>293.33333333333695</v>
      </c>
      <c r="EO87" s="60">
        <f ca="1">AVERAGE(OFFSET($EN$3,0,0,'Données projet'!$E$15+1,1))-AVERAGE(OFFSET($H$3,0,0,'Données projet'!$E$15+1,1))</f>
        <v>253.03289960511904</v>
      </c>
      <c r="EP87" s="60">
        <f t="shared" si="100"/>
        <v>236.85088713056018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1.7053025658242404E-13</v>
      </c>
      <c r="FF87" s="18">
        <f>FE87*VLOOKUP('Données projet'!$B$16,Paramètres!$A$1:$I$89,3,0)*VLOOKUP('Données projet'!$B$16,Paramètres!$A$1:$I$89,5,0)</f>
        <v>1.4897523215040567E-13</v>
      </c>
      <c r="FG87" s="14">
        <f t="shared" si="101"/>
        <v>2.136562777003313E-12</v>
      </c>
      <c r="FH87" s="22">
        <f t="shared" si="76"/>
        <v>3.9806453659427267E-12</v>
      </c>
      <c r="FI87" s="60">
        <f t="shared" si="77"/>
        <v>293.33333333333729</v>
      </c>
      <c r="FJ87" s="60">
        <f ca="1">AVERAGE(OFFSET($FI$3,0,0,'Données projet'!$E$16+1,1))-AVERAGE(OFFSET($H$3,0,0,'Données projet'!$E$16+1,1))</f>
        <v>274.38315511766132</v>
      </c>
      <c r="FK87" s="60">
        <f t="shared" si="102"/>
        <v>255.96663040027175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>
        <f>VLOOKUP(A87,'Données projet'!$A$243:$I$263,2,0)</f>
        <v>420</v>
      </c>
      <c r="FX87" s="13">
        <f>VLOOKUP(A87,'Données projet'!$A$243:$I$263,9,0)</f>
        <v>12</v>
      </c>
      <c r="FY87" s="13">
        <f t="array" ref="FY87">INDEX(FX:FX,MIN(IF(ISNUMBER(FX87:FX283),ROW(FX87:FX283),"")))</f>
        <v>12</v>
      </c>
      <c r="FZ87" s="13">
        <f>IF('Données projet'!$A$244&gt;35,FZ86+FY87-GH86,IF(A87&lt;'Données projet'!$A$244,$FW$205^A87,IF(A87='Données projet'!$A$244,'Données projet'!$B$244,FZ86+FY87-GH86)))</f>
        <v>419.99999999999966</v>
      </c>
      <c r="GA87" s="18">
        <f>FZ87*VLOOKUP('Données projet'!$B$17,Paramètres!$A$1:$I$89,3,0)*VLOOKUP('Données projet'!$B$17,Paramètres!$A$1:$I$89,5,0)</f>
        <v>360.35999999999973</v>
      </c>
      <c r="GB87" s="14">
        <f t="shared" si="103"/>
        <v>83.692107728969532</v>
      </c>
      <c r="GC87" s="22">
        <f t="shared" si="79"/>
        <v>773.39075429462139</v>
      </c>
      <c r="GD87" s="60">
        <f t="shared" si="80"/>
        <v>1066.7240876279548</v>
      </c>
      <c r="GE87" s="60">
        <f ca="1">AVERAGE(OFFSET($GD$3,0,0,'Données projet'!$E$17+1,1))-AVERAGE(OFFSET($H$3,0,0,'Données projet'!$E$17+1,1))</f>
        <v>445.81166342116865</v>
      </c>
      <c r="GF87" s="60">
        <f t="shared" si="104"/>
        <v>230.82970731138215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5.6843418860808015E-14</v>
      </c>
      <c r="GV87" s="18">
        <f>GU87*VLOOKUP('Données projet'!$B$18,Paramètres!$A$1:$I$89,3,0)*VLOOKUP('Données projet'!$B$18,Paramètres!$A$1:$I$89,5,0)</f>
        <v>4.4337866711430253E-14</v>
      </c>
      <c r="GW87" s="14">
        <f t="shared" si="105"/>
        <v>7.3222115536967035E-13</v>
      </c>
      <c r="GX87" s="22">
        <f t="shared" si="82"/>
        <v>1.3525069634579169E-12</v>
      </c>
      <c r="GY87" s="60">
        <f t="shared" si="83"/>
        <v>293.33333333333468</v>
      </c>
      <c r="GZ87" s="60">
        <f ca="1">AVERAGE(OFFSET($GY$3,0,0,'Données projet'!$E$18+1,1))-AVERAGE(OFFSET($H$3,0,0,'Données projet'!$E$18+1,1))</f>
        <v>289.19475369871481</v>
      </c>
      <c r="HA87" s="60">
        <f t="shared" si="106"/>
        <v>283.48738729114024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projet'!$B$18,Paramètres!$A$1:$I$89,3,0)*0.475*44/12</f>
        <v>0</v>
      </c>
      <c r="HH87" s="23">
        <f>EXP(-LN(2)/25)*HH86+(1-EXP(-LN(2)/25))/(LN(2)/25)*Calculateur!HC87*Calculateur!HE87*VLOOKUP('Données projet'!$B$18,Paramètres!$A$1:$I$89,3,0)*0.475*44/12</f>
        <v>0</v>
      </c>
      <c r="HI87" s="23">
        <f>EXP(-LN(2)/2)*HI86+(1-EXP(-LN(2)/2))/(LN(2)/2)*HC87*HF87*VLOOKUP('Données projet'!$B$18,Paramètres!$A$1:$I$89,3,0)*0.475*44/12</f>
        <v>0</v>
      </c>
      <c r="HJ87" s="24">
        <f t="shared" si="84"/>
        <v>0</v>
      </c>
    </row>
    <row r="88" spans="1:218" s="5" customFormat="1" x14ac:dyDescent="0.3">
      <c r="A88" s="11">
        <f t="shared" si="85"/>
        <v>85</v>
      </c>
      <c r="B88" s="75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8">
        <f t="shared" si="56"/>
        <v>256.66666666666669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290</v>
      </c>
      <c r="L88" s="13">
        <f>VLOOKUP(A88,'Données projet'!$A$35:$I$55,9,0)</f>
        <v>5.8</v>
      </c>
      <c r="M88" s="13">
        <f t="array" ref="M88">INDEX(L:L,MIN(IF(ISNUMBER(L88:L284),ROW(L88:L284),"")))</f>
        <v>5.8</v>
      </c>
      <c r="N88" s="14">
        <f>IF('Données projet'!$A$36&gt;35,N87+M88-V87,IF(A88&lt;'Données projet'!$A$36,$K$205^A88,IF(A88='Données projet'!$A$36,'Données projet'!$B$36,N87+M88-V87)))</f>
        <v>289.99999999999994</v>
      </c>
      <c r="O88" s="14">
        <f>N88*VLOOKUP('Données projet'!$B$9,Paramètres!$A$1:$I$89,3,0)*VLOOKUP('Données projet'!$B$9,Paramètres!$A$1:$I$89,5,0)</f>
        <v>280.48799999999994</v>
      </c>
      <c r="P88" s="14">
        <f t="shared" si="87"/>
        <v>67.070126855467564</v>
      </c>
      <c r="Q88" s="22">
        <f t="shared" si="54"/>
        <v>605.33040427327262</v>
      </c>
      <c r="R88" s="60">
        <f t="shared" si="55"/>
        <v>898.66373760660599</v>
      </c>
      <c r="S88" s="60">
        <f ca="1">AVERAGE(OFFSET($R$3,0,0,'Données projet'!$E$9+1,1))-AVERAGE(OFFSET($H$3,0,0,'Données projet'!$E$9+1,1))</f>
        <v>456.86147223520601</v>
      </c>
      <c r="T88" s="60">
        <f t="shared" si="88"/>
        <v>244.45149244446094</v>
      </c>
      <c r="U88" s="16">
        <f>IF(ISNA(VLOOKUP(A88,'Données projet'!$A$35:$I$55,3,0)),0,VLOOKUP(A88,'Données projet'!$A$35:$I$55,3,0))</f>
        <v>7</v>
      </c>
      <c r="V88" s="16">
        <f>IF(ISNA(VLOOKUP(A88,'Données projet'!$A$35:$I$55,4,0)),0,VLOOKUP(A88,'Données projet'!$A$35:$I$55,4,0))</f>
        <v>42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2.5579538487363607E-13</v>
      </c>
      <c r="AJ88" s="14">
        <f>AI88*VLOOKUP('Données projet'!$B$10,Paramètres!$A$1:$I$89,3,0)*VLOOKUP('Données projet'!$B$10,Paramètres!$A$1:$I$89,5,0)</f>
        <v>1.6759713616920635E-13</v>
      </c>
      <c r="AK88" s="14">
        <f t="shared" si="89"/>
        <v>2.3709043131075133E-12</v>
      </c>
      <c r="AL88" s="22">
        <f t="shared" si="58"/>
        <v>4.4212233574902864E-12</v>
      </c>
      <c r="AM88" s="60">
        <f t="shared" si="59"/>
        <v>293.33333333333775</v>
      </c>
      <c r="AN88" s="60">
        <f ca="1">AVERAGE(OFFSET($AM$3,0,0,'Données projet'!$E$10+1,1))-AVERAGE(OFFSET($H$3,0,0,'Données projet'!$E$10+1,1))</f>
        <v>170.79567854714986</v>
      </c>
      <c r="AO88" s="60">
        <f t="shared" si="90"/>
        <v>155.92788004111191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-1.1368683772161603E-13</v>
      </c>
      <c r="BE88" s="14">
        <f>BD88*VLOOKUP('Données projet'!$B$11,Paramètres!$A$1:$I$89,3,0)*VLOOKUP('Données projet'!$B$11,Paramètres!$A$1:$I$89,5,0)</f>
        <v>-9.2222762759774927E-14</v>
      </c>
      <c r="BF88" s="14" t="e">
        <f t="shared" si="91"/>
        <v>#NUM!</v>
      </c>
      <c r="BG88" s="22" t="e">
        <f t="shared" si="61"/>
        <v>#NUM!</v>
      </c>
      <c r="BH88" s="60" t="e">
        <f t="shared" si="62"/>
        <v>#NUM!</v>
      </c>
      <c r="BI88" s="60">
        <f ca="1">AVERAGE(OFFSET($BH$3,0,0,'Données projet'!$E$11+1,1))-AVERAGE(OFFSET($H$3,0,0,'Données projet'!$E$11+1,1))</f>
        <v>256.19915261735281</v>
      </c>
      <c r="BJ88" s="60">
        <f t="shared" si="92"/>
        <v>297.47246687305056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225</v>
      </c>
      <c r="BW88" s="13">
        <f>VLOOKUP(A88,'Données projet'!$A$113:$I$133,9,0)</f>
        <v>3.7179487179487181</v>
      </c>
      <c r="BX88" s="13">
        <f t="array" ref="BX88">INDEX(BW:BW,MIN(IF(ISNUMBER(BW88:BW284),ROW(BW88:BW284),"")))</f>
        <v>3.7179487179487181</v>
      </c>
      <c r="BY88" s="13">
        <f>IF('Données projet'!$A$114&gt;35,BY87+BX88-CG87,IF(A88&lt;'Données projet'!$A$114,$BV$205^A88,IF(A88='Données projet'!$A$114,'Données projet'!$B$114,BY87+BX88-CG87)))</f>
        <v>224.99999999999994</v>
      </c>
      <c r="BZ88" s="14">
        <f>BY88*VLOOKUP('Données projet'!$B$12,Paramètres!$A$1:$I$89,3,0)*VLOOKUP('Données projet'!$B$12,Paramètres!$A$1:$I$89,5,0)</f>
        <v>214.10999999999996</v>
      </c>
      <c r="CA88" s="14">
        <f t="shared" si="93"/>
        <v>52.832708448119902</v>
      </c>
      <c r="CB88" s="22">
        <f t="shared" si="64"/>
        <v>464.92521721380871</v>
      </c>
      <c r="CC88" s="60">
        <f t="shared" si="65"/>
        <v>758.25855054714202</v>
      </c>
      <c r="CD88" s="60">
        <f ca="1">AVERAGE(OFFSET($CC$3,0,0,'Données projet'!$E$12+1,1))-AVERAGE(OFFSET($H$3,0,0,'Données projet'!$E$12+1,1))</f>
        <v>353.53401919391234</v>
      </c>
      <c r="CE88" s="60">
        <f t="shared" si="94"/>
        <v>244.7141066773861</v>
      </c>
      <c r="CF88" s="16">
        <f>IF(ISNA(VLOOKUP(A88,'Données projet'!$A$113:$I$133,3,0)),0,VLOOKUP(A88,'Données projet'!$A$113:$I$133,3,0))</f>
        <v>7</v>
      </c>
      <c r="CG88" s="16">
        <f>IF(ISNA(VLOOKUP(A88,'Données projet'!$A$113:$I$133,4,0)),0,VLOOKUP(A88,'Données projet'!$A$113:$I$133,4,0))</f>
        <v>25.641025641025639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290</v>
      </c>
      <c r="CR88" s="13">
        <f>VLOOKUP(A88,'Données projet'!$A$139:$I$159,9,0)</f>
        <v>5.8</v>
      </c>
      <c r="CS88" s="13">
        <f t="array" ref="CS88">INDEX(CR:CR,MIN(IF(ISNUMBER(CR88:CR284),ROW(CR88:CR284),"")))</f>
        <v>5.8</v>
      </c>
      <c r="CT88" s="13">
        <f>IF('Données projet'!$A$140&gt;35,CT87+CS88-DB87,IF(A88&lt;'Données projet'!$A$140,$CQ$205^A88,IF(A88='Données projet'!$A$140,'Données projet'!$B$140,CT87+CS88-DB87)))</f>
        <v>289.99999999999994</v>
      </c>
      <c r="CU88" s="18">
        <f>CT88*VLOOKUP('Données projet'!$B$13,Paramètres!$A$1:$I$89,3,0)*VLOOKUP('Données projet'!$B$13,Paramètres!$A$1:$I$89,5,0)</f>
        <v>244.29599999999996</v>
      </c>
      <c r="CV88" s="14">
        <f t="shared" si="95"/>
        <v>59.362879241040368</v>
      </c>
      <c r="CW88" s="22">
        <f t="shared" si="67"/>
        <v>528.87254801147856</v>
      </c>
      <c r="CX88" s="60">
        <f t="shared" si="68"/>
        <v>822.20588134481181</v>
      </c>
      <c r="CY88" s="60">
        <f ca="1">AVERAGE(OFFSET($CX$3,0,0,'Données projet'!$E$13+1,1))-AVERAGE(OFFSET($H$3,0,0,'Données projet'!$E$13+1,1))</f>
        <v>403.33327536410098</v>
      </c>
      <c r="CZ88" s="60">
        <f t="shared" si="96"/>
        <v>218.26721063098552</v>
      </c>
      <c r="DA88" s="16">
        <f>IF(ISNA(VLOOKUP(A88,'Données projet'!$A$139:$I$159,3,0)),0,VLOOKUP(A88,'Données projet'!$A$139:$I$159,3,0))</f>
        <v>7</v>
      </c>
      <c r="DB88" s="16">
        <f>IF(ISNA(VLOOKUP(A88,'Données projet'!$A$139:$I$159,4,0)),0,VLOOKUP(A88,'Données projet'!$A$139:$I$159,4,0))</f>
        <v>42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3.4106051316484809E-13</v>
      </c>
      <c r="DP88" s="18">
        <f>DO88*VLOOKUP('Données projet'!$B$14,Paramètres!$A$1:$I$89,3,0)*VLOOKUP('Données projet'!$B$14,Paramètres!$A$1:$I$89,5,0)</f>
        <v>2.7134774427395314E-13</v>
      </c>
      <c r="DQ88" s="14">
        <f t="shared" si="97"/>
        <v>3.6292411711343559E-12</v>
      </c>
      <c r="DR88" s="22">
        <f t="shared" si="70"/>
        <v>6.7935256943361388E-12</v>
      </c>
      <c r="DS88" s="60">
        <f t="shared" si="71"/>
        <v>293.33333333334014</v>
      </c>
      <c r="DT88" s="60">
        <f ca="1">AVERAGE(OFFSET($DS$3,0,0,'Données projet'!$E$14+1,1))-AVERAGE(OFFSET($H$3,0,0,'Données projet'!$E$14+1,1))</f>
        <v>317.13087551964747</v>
      </c>
      <c r="DU88" s="60">
        <f t="shared" si="98"/>
        <v>293.43300041793185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1.7053025658242404E-13</v>
      </c>
      <c r="EK88" s="18">
        <f>EJ88*VLOOKUP('Données projet'!$B$15,Paramètres!$A$1:$I$89,3,0)*VLOOKUP('Données projet'!$B$15,Paramètres!$A$1:$I$89,5,0)</f>
        <v>1.3567387213697657E-13</v>
      </c>
      <c r="EL88" s="14">
        <f t="shared" si="99"/>
        <v>1.9670967679808581E-12</v>
      </c>
      <c r="EM88" s="22">
        <f t="shared" si="73"/>
        <v>3.6623255315385623E-12</v>
      </c>
      <c r="EN88" s="60">
        <f t="shared" si="74"/>
        <v>293.33333333333695</v>
      </c>
      <c r="EO88" s="60">
        <f ca="1">AVERAGE(OFFSET($EN$3,0,0,'Données projet'!$E$15+1,1))-AVERAGE(OFFSET($H$3,0,0,'Données projet'!$E$15+1,1))</f>
        <v>253.03289960511904</v>
      </c>
      <c r="EP88" s="60">
        <f t="shared" si="100"/>
        <v>236.85088713056018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1.7053025658242404E-13</v>
      </c>
      <c r="FF88" s="18">
        <f>FE88*VLOOKUP('Données projet'!$B$16,Paramètres!$A$1:$I$89,3,0)*VLOOKUP('Données projet'!$B$16,Paramètres!$A$1:$I$89,5,0)</f>
        <v>1.4897523215040567E-13</v>
      </c>
      <c r="FG88" s="14">
        <f t="shared" si="101"/>
        <v>2.136562777003313E-12</v>
      </c>
      <c r="FH88" s="22">
        <f t="shared" si="76"/>
        <v>3.9806453659427267E-12</v>
      </c>
      <c r="FI88" s="60">
        <f t="shared" si="77"/>
        <v>293.33333333333729</v>
      </c>
      <c r="FJ88" s="60">
        <f ca="1">AVERAGE(OFFSET($FI$3,0,0,'Données projet'!$E$16+1,1))-AVERAGE(OFFSET($H$3,0,0,'Données projet'!$E$16+1,1))</f>
        <v>274.38315511766132</v>
      </c>
      <c r="FK88" s="60">
        <f t="shared" si="102"/>
        <v>255.96663040027175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11.5</v>
      </c>
      <c r="FZ88" s="13">
        <f>IF('Données projet'!$A$244&gt;35,FZ87+FY88-GH87,IF(A88&lt;'Données projet'!$A$244,$FW$205^A88,IF(A88='Données projet'!$A$244,'Données projet'!$B$244,FZ87+FY88-GH87)))</f>
        <v>431.49999999999966</v>
      </c>
      <c r="GA88" s="18">
        <f>FZ88*VLOOKUP('Données projet'!$B$17,Paramètres!$A$1:$I$89,3,0)*VLOOKUP('Données projet'!$B$17,Paramètres!$A$1:$I$89,5,0)</f>
        <v>370.22699999999975</v>
      </c>
      <c r="GB88" s="14">
        <f t="shared" si="103"/>
        <v>85.713744339137904</v>
      </c>
      <c r="GC88" s="22">
        <f t="shared" si="79"/>
        <v>794.09679639066474</v>
      </c>
      <c r="GD88" s="60">
        <f t="shared" si="80"/>
        <v>1087.4301297239981</v>
      </c>
      <c r="GE88" s="60">
        <f ca="1">AVERAGE(OFFSET($GD$3,0,0,'Données projet'!$E$17+1,1))-AVERAGE(OFFSET($H$3,0,0,'Données projet'!$E$17+1,1))</f>
        <v>445.81166342116865</v>
      </c>
      <c r="GF88" s="60">
        <f t="shared" si="104"/>
        <v>230.82970731138215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5.6843418860808015E-14</v>
      </c>
      <c r="GV88" s="18">
        <f>GU88*VLOOKUP('Données projet'!$B$18,Paramètres!$A$1:$I$89,3,0)*VLOOKUP('Données projet'!$B$18,Paramètres!$A$1:$I$89,5,0)</f>
        <v>4.4337866711430253E-14</v>
      </c>
      <c r="GW88" s="14">
        <f t="shared" si="105"/>
        <v>7.3222115536967035E-13</v>
      </c>
      <c r="GX88" s="22">
        <f t="shared" si="82"/>
        <v>1.3525069634579169E-12</v>
      </c>
      <c r="GY88" s="60">
        <f t="shared" si="83"/>
        <v>293.33333333333468</v>
      </c>
      <c r="GZ88" s="60">
        <f ca="1">AVERAGE(OFFSET($GY$3,0,0,'Données projet'!$E$18+1,1))-AVERAGE(OFFSET($H$3,0,0,'Données projet'!$E$18+1,1))</f>
        <v>289.19475369871481</v>
      </c>
      <c r="HA88" s="60">
        <f t="shared" si="106"/>
        <v>283.48738729114024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projet'!$B$18,Paramètres!$A$1:$I$89,3,0)*0.475*44/12</f>
        <v>0</v>
      </c>
      <c r="HH88" s="23">
        <f>EXP(-LN(2)/25)*HH87+(1-EXP(-LN(2)/25))/(LN(2)/25)*Calculateur!HC88*Calculateur!HE88*VLOOKUP('Données projet'!$B$18,Paramètres!$A$1:$I$89,3,0)*0.475*44/12</f>
        <v>0</v>
      </c>
      <c r="HI88" s="23">
        <f>EXP(-LN(2)/2)*HI87+(1-EXP(-LN(2)/2))/(LN(2)/2)*HC88*HF88*VLOOKUP('Données projet'!$B$18,Paramètres!$A$1:$I$89,3,0)*0.475*44/12</f>
        <v>0</v>
      </c>
      <c r="HJ88" s="24">
        <f t="shared" si="84"/>
        <v>0</v>
      </c>
    </row>
    <row r="89" spans="1:218" s="5" customFormat="1" x14ac:dyDescent="0.3">
      <c r="A89" s="11">
        <f t="shared" si="85"/>
        <v>86</v>
      </c>
      <c r="B89" s="75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8">
        <f t="shared" si="56"/>
        <v>256.66666666666669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5.2</v>
      </c>
      <c r="N89" s="14">
        <f>IF('Données projet'!$A$36&gt;35,N88+M89-V88,IF(A89&lt;'Données projet'!$A$36,$K$205^A89,IF(A89='Données projet'!$A$36,'Données projet'!$B$36,N88+M89-V88)))</f>
        <v>253.19999999999993</v>
      </c>
      <c r="O89" s="14">
        <f>N89*VLOOKUP('Données projet'!$B$9,Paramètres!$A$1:$I$89,3,0)*VLOOKUP('Données projet'!$B$9,Paramètres!$A$1:$I$89,5,0)</f>
        <v>244.89503999999994</v>
      </c>
      <c r="P89" s="14">
        <f t="shared" si="87"/>
        <v>59.491481383464382</v>
      </c>
      <c r="Q89" s="22">
        <f t="shared" si="54"/>
        <v>530.13985807620031</v>
      </c>
      <c r="R89" s="60">
        <f t="shared" si="55"/>
        <v>823.47319140953368</v>
      </c>
      <c r="S89" s="60">
        <f ca="1">AVERAGE(OFFSET($R$3,0,0,'Données projet'!$E$9+1,1))-AVERAGE(OFFSET($H$3,0,0,'Données projet'!$E$9+1,1))</f>
        <v>456.86147223520601</v>
      </c>
      <c r="T89" s="60">
        <f t="shared" si="88"/>
        <v>244.45149244446094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2.5579538487363607E-13</v>
      </c>
      <c r="AJ89" s="14">
        <f>AI89*VLOOKUP('Données projet'!$B$10,Paramètres!$A$1:$I$89,3,0)*VLOOKUP('Données projet'!$B$10,Paramètres!$A$1:$I$89,5,0)</f>
        <v>1.6759713616920635E-13</v>
      </c>
      <c r="AK89" s="14">
        <f t="shared" si="89"/>
        <v>2.3709043131075133E-12</v>
      </c>
      <c r="AL89" s="22">
        <f t="shared" si="58"/>
        <v>4.4212233574902864E-12</v>
      </c>
      <c r="AM89" s="60">
        <f t="shared" si="59"/>
        <v>293.33333333333775</v>
      </c>
      <c r="AN89" s="60">
        <f ca="1">AVERAGE(OFFSET($AM$3,0,0,'Données projet'!$E$10+1,1))-AVERAGE(OFFSET($H$3,0,0,'Données projet'!$E$10+1,1))</f>
        <v>170.79567854714986</v>
      </c>
      <c r="AO89" s="60">
        <f t="shared" si="90"/>
        <v>155.92788004111191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-1.1368683772161603E-13</v>
      </c>
      <c r="BE89" s="14">
        <f>BD89*VLOOKUP('Données projet'!$B$11,Paramètres!$A$1:$I$89,3,0)*VLOOKUP('Données projet'!$B$11,Paramètres!$A$1:$I$89,5,0)</f>
        <v>-9.2222762759774927E-14</v>
      </c>
      <c r="BF89" s="14" t="e">
        <f t="shared" si="91"/>
        <v>#NUM!</v>
      </c>
      <c r="BG89" s="22" t="e">
        <f t="shared" si="61"/>
        <v>#NUM!</v>
      </c>
      <c r="BH89" s="60" t="e">
        <f t="shared" si="62"/>
        <v>#NUM!</v>
      </c>
      <c r="BI89" s="60">
        <f ca="1">AVERAGE(OFFSET($BH$3,0,0,'Données projet'!$E$11+1,1))-AVERAGE(OFFSET($H$3,0,0,'Données projet'!$E$11+1,1))</f>
        <v>256.19915261735281</v>
      </c>
      <c r="BJ89" s="60">
        <f t="shared" si="92"/>
        <v>297.47246687305056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3.5897435897435854</v>
      </c>
      <c r="BY89" s="13">
        <f>IF('Données projet'!$A$114&gt;35,BY88+BX89-CG88,IF(A89&lt;'Données projet'!$A$114,$BV$205^A89,IF(A89='Données projet'!$A$114,'Données projet'!$B$114,BY88+BX89-CG88)))</f>
        <v>202.9487179487179</v>
      </c>
      <c r="BZ89" s="14">
        <f>BY89*VLOOKUP('Données projet'!$B$12,Paramètres!$A$1:$I$89,3,0)*VLOOKUP('Données projet'!$B$12,Paramètres!$A$1:$I$89,5,0)</f>
        <v>193.12599999999998</v>
      </c>
      <c r="CA89" s="14">
        <f t="shared" si="93"/>
        <v>48.230409312753999</v>
      </c>
      <c r="CB89" s="22">
        <f t="shared" si="64"/>
        <v>420.36241288637984</v>
      </c>
      <c r="CC89" s="60">
        <f t="shared" si="65"/>
        <v>713.6957462197131</v>
      </c>
      <c r="CD89" s="60">
        <f ca="1">AVERAGE(OFFSET($CC$3,0,0,'Données projet'!$E$12+1,1))-AVERAGE(OFFSET($H$3,0,0,'Données projet'!$E$12+1,1))</f>
        <v>353.53401919391234</v>
      </c>
      <c r="CE89" s="60">
        <f t="shared" si="94"/>
        <v>244.7141066773861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5.2</v>
      </c>
      <c r="CT89" s="13">
        <f>IF('Données projet'!$A$140&gt;35,CT88+CS89-DB88,IF(A89&lt;'Données projet'!$A$140,$CQ$205^A89,IF(A89='Données projet'!$A$140,'Données projet'!$B$140,CT88+CS89-DB88)))</f>
        <v>253.19999999999993</v>
      </c>
      <c r="CU89" s="18">
        <f>CT89*VLOOKUP('Données projet'!$B$13,Paramètres!$A$1:$I$89,3,0)*VLOOKUP('Données projet'!$B$13,Paramètres!$A$1:$I$89,5,0)</f>
        <v>213.29567999999998</v>
      </c>
      <c r="CV89" s="14">
        <f t="shared" si="95"/>
        <v>52.655120704446759</v>
      </c>
      <c r="CW89" s="22">
        <f t="shared" si="67"/>
        <v>463.19764456024473</v>
      </c>
      <c r="CX89" s="60">
        <f t="shared" si="68"/>
        <v>756.53097789357798</v>
      </c>
      <c r="CY89" s="60">
        <f ca="1">AVERAGE(OFFSET($CX$3,0,0,'Données projet'!$E$13+1,1))-AVERAGE(OFFSET($H$3,0,0,'Données projet'!$E$13+1,1))</f>
        <v>403.33327536410098</v>
      </c>
      <c r="CZ89" s="60">
        <f t="shared" si="96"/>
        <v>218.26721063098552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3.4106051316484809E-13</v>
      </c>
      <c r="DP89" s="18">
        <f>DO89*VLOOKUP('Données projet'!$B$14,Paramètres!$A$1:$I$89,3,0)*VLOOKUP('Données projet'!$B$14,Paramètres!$A$1:$I$89,5,0)</f>
        <v>2.7134774427395314E-13</v>
      </c>
      <c r="DQ89" s="14">
        <f t="shared" si="97"/>
        <v>3.6292411711343559E-12</v>
      </c>
      <c r="DR89" s="22">
        <f t="shared" si="70"/>
        <v>6.7935256943361388E-12</v>
      </c>
      <c r="DS89" s="60">
        <f t="shared" si="71"/>
        <v>293.33333333334014</v>
      </c>
      <c r="DT89" s="60">
        <f ca="1">AVERAGE(OFFSET($DS$3,0,0,'Données projet'!$E$14+1,1))-AVERAGE(OFFSET($H$3,0,0,'Données projet'!$E$14+1,1))</f>
        <v>317.13087551964747</v>
      </c>
      <c r="DU89" s="60">
        <f t="shared" si="98"/>
        <v>293.43300041793185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1.7053025658242404E-13</v>
      </c>
      <c r="EK89" s="18">
        <f>EJ89*VLOOKUP('Données projet'!$B$15,Paramètres!$A$1:$I$89,3,0)*VLOOKUP('Données projet'!$B$15,Paramètres!$A$1:$I$89,5,0)</f>
        <v>1.3567387213697657E-13</v>
      </c>
      <c r="EL89" s="14">
        <f t="shared" si="99"/>
        <v>1.9670967679808581E-12</v>
      </c>
      <c r="EM89" s="22">
        <f t="shared" si="73"/>
        <v>3.6623255315385623E-12</v>
      </c>
      <c r="EN89" s="60">
        <f t="shared" si="74"/>
        <v>293.33333333333695</v>
      </c>
      <c r="EO89" s="60">
        <f ca="1">AVERAGE(OFFSET($EN$3,0,0,'Données projet'!$E$15+1,1))-AVERAGE(OFFSET($H$3,0,0,'Données projet'!$E$15+1,1))</f>
        <v>253.03289960511904</v>
      </c>
      <c r="EP89" s="60">
        <f t="shared" si="100"/>
        <v>236.85088713056018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1.7053025658242404E-13</v>
      </c>
      <c r="FF89" s="18">
        <f>FE89*VLOOKUP('Données projet'!$B$16,Paramètres!$A$1:$I$89,3,0)*VLOOKUP('Données projet'!$B$16,Paramètres!$A$1:$I$89,5,0)</f>
        <v>1.4897523215040567E-13</v>
      </c>
      <c r="FG89" s="14">
        <f t="shared" si="101"/>
        <v>2.136562777003313E-12</v>
      </c>
      <c r="FH89" s="22">
        <f t="shared" si="76"/>
        <v>3.9806453659427267E-12</v>
      </c>
      <c r="FI89" s="60">
        <f t="shared" si="77"/>
        <v>293.33333333333729</v>
      </c>
      <c r="FJ89" s="60">
        <f ca="1">AVERAGE(OFFSET($FI$3,0,0,'Données projet'!$E$16+1,1))-AVERAGE(OFFSET($H$3,0,0,'Données projet'!$E$16+1,1))</f>
        <v>274.38315511766132</v>
      </c>
      <c r="FK89" s="60">
        <f t="shared" si="102"/>
        <v>255.96663040027175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11.5</v>
      </c>
      <c r="FZ89" s="13">
        <f>IF('Données projet'!$A$244&gt;35,FZ88+FY89-GH88,IF(A89&lt;'Données projet'!$A$244,$FW$205^A89,IF(A89='Données projet'!$A$244,'Données projet'!$B$244,FZ88+FY89-GH88)))</f>
        <v>442.99999999999966</v>
      </c>
      <c r="GA89" s="18">
        <f>FZ89*VLOOKUP('Données projet'!$B$17,Paramètres!$A$1:$I$89,3,0)*VLOOKUP('Données projet'!$B$17,Paramètres!$A$1:$I$89,5,0)</f>
        <v>380.09399999999977</v>
      </c>
      <c r="GB89" s="14">
        <f t="shared" si="103"/>
        <v>87.729118359210162</v>
      </c>
      <c r="GC89" s="22">
        <f t="shared" si="79"/>
        <v>814.79193114229065</v>
      </c>
      <c r="GD89" s="60">
        <f t="shared" si="80"/>
        <v>1108.1252644756239</v>
      </c>
      <c r="GE89" s="60">
        <f ca="1">AVERAGE(OFFSET($GD$3,0,0,'Données projet'!$E$17+1,1))-AVERAGE(OFFSET($H$3,0,0,'Données projet'!$E$17+1,1))</f>
        <v>445.81166342116865</v>
      </c>
      <c r="GF89" s="60">
        <f t="shared" si="104"/>
        <v>230.82970731138215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5.6843418860808015E-14</v>
      </c>
      <c r="GV89" s="18">
        <f>GU89*VLOOKUP('Données projet'!$B$18,Paramètres!$A$1:$I$89,3,0)*VLOOKUP('Données projet'!$B$18,Paramètres!$A$1:$I$89,5,0)</f>
        <v>4.4337866711430253E-14</v>
      </c>
      <c r="GW89" s="14">
        <f t="shared" si="105"/>
        <v>7.3222115536967035E-13</v>
      </c>
      <c r="GX89" s="22">
        <f t="shared" si="82"/>
        <v>1.3525069634579169E-12</v>
      </c>
      <c r="GY89" s="60">
        <f t="shared" si="83"/>
        <v>293.33333333333468</v>
      </c>
      <c r="GZ89" s="60">
        <f ca="1">AVERAGE(OFFSET($GY$3,0,0,'Données projet'!$E$18+1,1))-AVERAGE(OFFSET($H$3,0,0,'Données projet'!$E$18+1,1))</f>
        <v>289.19475369871481</v>
      </c>
      <c r="HA89" s="60">
        <f t="shared" si="106"/>
        <v>283.48738729114024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projet'!$B$18,Paramètres!$A$1:$I$89,3,0)*0.475*44/12</f>
        <v>0</v>
      </c>
      <c r="HH89" s="23">
        <f>EXP(-LN(2)/25)*HH88+(1-EXP(-LN(2)/25))/(LN(2)/25)*Calculateur!HC89*Calculateur!HE89*VLOOKUP('Données projet'!$B$18,Paramètres!$A$1:$I$89,3,0)*0.475*44/12</f>
        <v>0</v>
      </c>
      <c r="HI89" s="23">
        <f>EXP(-LN(2)/2)*HI88+(1-EXP(-LN(2)/2))/(LN(2)/2)*HC89*HF89*VLOOKUP('Données projet'!$B$18,Paramètres!$A$1:$I$89,3,0)*0.475*44/12</f>
        <v>0</v>
      </c>
      <c r="HJ89" s="24">
        <f t="shared" si="84"/>
        <v>0</v>
      </c>
    </row>
    <row r="90" spans="1:218" s="5" customFormat="1" x14ac:dyDescent="0.3">
      <c r="A90" s="11">
        <f t="shared" si="85"/>
        <v>87</v>
      </c>
      <c r="B90" s="75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8">
        <f t="shared" si="56"/>
        <v>256.66666666666669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5.2</v>
      </c>
      <c r="N90" s="14">
        <f>IF('Données projet'!$A$36&gt;35,N89+M90-V89,IF(A90&lt;'Données projet'!$A$36,$K$205^A90,IF(A90='Données projet'!$A$36,'Données projet'!$B$36,N89+M90-V89)))</f>
        <v>258.39999999999992</v>
      </c>
      <c r="O90" s="14">
        <f>N90*VLOOKUP('Données projet'!$B$9,Paramètres!$A$1:$I$89,3,0)*VLOOKUP('Données projet'!$B$9,Paramètres!$A$1:$I$89,5,0)</f>
        <v>249.92447999999993</v>
      </c>
      <c r="P90" s="14">
        <f t="shared" si="87"/>
        <v>60.569769096626466</v>
      </c>
      <c r="Q90" s="22">
        <f t="shared" si="54"/>
        <v>540.77748384329095</v>
      </c>
      <c r="R90" s="60">
        <f t="shared" si="55"/>
        <v>834.11081717662432</v>
      </c>
      <c r="S90" s="60">
        <f ca="1">AVERAGE(OFFSET($R$3,0,0,'Données projet'!$E$9+1,1))-AVERAGE(OFFSET($H$3,0,0,'Données projet'!$E$9+1,1))</f>
        <v>456.86147223520601</v>
      </c>
      <c r="T90" s="60">
        <f t="shared" si="88"/>
        <v>244.45149244446094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2.5579538487363607E-13</v>
      </c>
      <c r="AJ90" s="14">
        <f>AI90*VLOOKUP('Données projet'!$B$10,Paramètres!$A$1:$I$89,3,0)*VLOOKUP('Données projet'!$B$10,Paramètres!$A$1:$I$89,5,0)</f>
        <v>1.6759713616920635E-13</v>
      </c>
      <c r="AK90" s="14">
        <f t="shared" si="89"/>
        <v>2.3709043131075133E-12</v>
      </c>
      <c r="AL90" s="22">
        <f t="shared" si="58"/>
        <v>4.4212233574902864E-12</v>
      </c>
      <c r="AM90" s="60">
        <f t="shared" si="59"/>
        <v>293.33333333333775</v>
      </c>
      <c r="AN90" s="60">
        <f ca="1">AVERAGE(OFFSET($AM$3,0,0,'Données projet'!$E$10+1,1))-AVERAGE(OFFSET($H$3,0,0,'Données projet'!$E$10+1,1))</f>
        <v>170.79567854714986</v>
      </c>
      <c r="AO90" s="60">
        <f t="shared" si="90"/>
        <v>155.92788004111191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-1.1368683772161603E-13</v>
      </c>
      <c r="BE90" s="14">
        <f>BD90*VLOOKUP('Données projet'!$B$11,Paramètres!$A$1:$I$89,3,0)*VLOOKUP('Données projet'!$B$11,Paramètres!$A$1:$I$89,5,0)</f>
        <v>-9.2222762759774927E-14</v>
      </c>
      <c r="BF90" s="14" t="e">
        <f t="shared" si="91"/>
        <v>#NUM!</v>
      </c>
      <c r="BG90" s="22" t="e">
        <f t="shared" si="61"/>
        <v>#NUM!</v>
      </c>
      <c r="BH90" s="60" t="e">
        <f t="shared" si="62"/>
        <v>#NUM!</v>
      </c>
      <c r="BI90" s="60">
        <f ca="1">AVERAGE(OFFSET($BH$3,0,0,'Données projet'!$E$11+1,1))-AVERAGE(OFFSET($H$3,0,0,'Données projet'!$E$11+1,1))</f>
        <v>256.19915261735281</v>
      </c>
      <c r="BJ90" s="60">
        <f t="shared" si="92"/>
        <v>297.47246687305056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3.5897435897435854</v>
      </c>
      <c r="BY90" s="13">
        <f>IF('Données projet'!$A$114&gt;35,BY89+BX90-CG89,IF(A90&lt;'Données projet'!$A$114,$BV$205^A90,IF(A90='Données projet'!$A$114,'Données projet'!$B$114,BY89+BX90-CG89)))</f>
        <v>206.53846153846149</v>
      </c>
      <c r="BZ90" s="14">
        <f>BY90*VLOOKUP('Données projet'!$B$12,Paramètres!$A$1:$I$89,3,0)*VLOOKUP('Données projet'!$B$12,Paramètres!$A$1:$I$89,5,0)</f>
        <v>196.54199999999994</v>
      </c>
      <c r="CA90" s="14">
        <f t="shared" si="93"/>
        <v>48.983434287893736</v>
      </c>
      <c r="CB90" s="22">
        <f t="shared" si="64"/>
        <v>427.62346471808149</v>
      </c>
      <c r="CC90" s="60">
        <f t="shared" si="65"/>
        <v>720.95679805141481</v>
      </c>
      <c r="CD90" s="60">
        <f ca="1">AVERAGE(OFFSET($CC$3,0,0,'Données projet'!$E$12+1,1))-AVERAGE(OFFSET($H$3,0,0,'Données projet'!$E$12+1,1))</f>
        <v>353.53401919391234</v>
      </c>
      <c r="CE90" s="60">
        <f t="shared" si="94"/>
        <v>244.7141066773861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5.2</v>
      </c>
      <c r="CT90" s="13">
        <f>IF('Données projet'!$A$140&gt;35,CT89+CS90-DB89,IF(A90&lt;'Données projet'!$A$140,$CQ$205^A90,IF(A90='Données projet'!$A$140,'Données projet'!$B$140,CT89+CS90-DB89)))</f>
        <v>258.39999999999992</v>
      </c>
      <c r="CU90" s="18">
        <f>CT90*VLOOKUP('Données projet'!$B$13,Paramètres!$A$1:$I$89,3,0)*VLOOKUP('Données projet'!$B$13,Paramètres!$A$1:$I$89,5,0)</f>
        <v>217.67615999999995</v>
      </c>
      <c r="CV90" s="14">
        <f t="shared" si="95"/>
        <v>53.609498850196708</v>
      </c>
      <c r="CW90" s="22">
        <f t="shared" si="67"/>
        <v>472.48918916409252</v>
      </c>
      <c r="CX90" s="60">
        <f t="shared" si="68"/>
        <v>765.82252249742578</v>
      </c>
      <c r="CY90" s="60">
        <f ca="1">AVERAGE(OFFSET($CX$3,0,0,'Données projet'!$E$13+1,1))-AVERAGE(OFFSET($H$3,0,0,'Données projet'!$E$13+1,1))</f>
        <v>403.33327536410098</v>
      </c>
      <c r="CZ90" s="60">
        <f t="shared" si="96"/>
        <v>218.26721063098552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3.4106051316484809E-13</v>
      </c>
      <c r="DP90" s="18">
        <f>DO90*VLOOKUP('Données projet'!$B$14,Paramètres!$A$1:$I$89,3,0)*VLOOKUP('Données projet'!$B$14,Paramètres!$A$1:$I$89,5,0)</f>
        <v>2.7134774427395314E-13</v>
      </c>
      <c r="DQ90" s="14">
        <f t="shared" si="97"/>
        <v>3.6292411711343559E-12</v>
      </c>
      <c r="DR90" s="22">
        <f t="shared" si="70"/>
        <v>6.7935256943361388E-12</v>
      </c>
      <c r="DS90" s="60">
        <f t="shared" si="71"/>
        <v>293.33333333334014</v>
      </c>
      <c r="DT90" s="60">
        <f ca="1">AVERAGE(OFFSET($DS$3,0,0,'Données projet'!$E$14+1,1))-AVERAGE(OFFSET($H$3,0,0,'Données projet'!$E$14+1,1))</f>
        <v>317.13087551964747</v>
      </c>
      <c r="DU90" s="60">
        <f t="shared" si="98"/>
        <v>293.43300041793185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1.7053025658242404E-13</v>
      </c>
      <c r="EK90" s="18">
        <f>EJ90*VLOOKUP('Données projet'!$B$15,Paramètres!$A$1:$I$89,3,0)*VLOOKUP('Données projet'!$B$15,Paramètres!$A$1:$I$89,5,0)</f>
        <v>1.3567387213697657E-13</v>
      </c>
      <c r="EL90" s="14">
        <f t="shared" si="99"/>
        <v>1.9670967679808581E-12</v>
      </c>
      <c r="EM90" s="22">
        <f t="shared" si="73"/>
        <v>3.6623255315385623E-12</v>
      </c>
      <c r="EN90" s="60">
        <f t="shared" si="74"/>
        <v>293.33333333333695</v>
      </c>
      <c r="EO90" s="60">
        <f ca="1">AVERAGE(OFFSET($EN$3,0,0,'Données projet'!$E$15+1,1))-AVERAGE(OFFSET($H$3,0,0,'Données projet'!$E$15+1,1))</f>
        <v>253.03289960511904</v>
      </c>
      <c r="EP90" s="60">
        <f t="shared" si="100"/>
        <v>236.85088713056018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1.7053025658242404E-13</v>
      </c>
      <c r="FF90" s="18">
        <f>FE90*VLOOKUP('Données projet'!$B$16,Paramètres!$A$1:$I$89,3,0)*VLOOKUP('Données projet'!$B$16,Paramètres!$A$1:$I$89,5,0)</f>
        <v>1.4897523215040567E-13</v>
      </c>
      <c r="FG90" s="14">
        <f t="shared" si="101"/>
        <v>2.136562777003313E-12</v>
      </c>
      <c r="FH90" s="22">
        <f t="shared" si="76"/>
        <v>3.9806453659427267E-12</v>
      </c>
      <c r="FI90" s="60">
        <f t="shared" si="77"/>
        <v>293.33333333333729</v>
      </c>
      <c r="FJ90" s="60">
        <f ca="1">AVERAGE(OFFSET($FI$3,0,0,'Données projet'!$E$16+1,1))-AVERAGE(OFFSET($H$3,0,0,'Données projet'!$E$16+1,1))</f>
        <v>274.38315511766132</v>
      </c>
      <c r="FK90" s="60">
        <f t="shared" si="102"/>
        <v>255.96663040027175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11.5</v>
      </c>
      <c r="FZ90" s="13">
        <f>IF('Données projet'!$A$244&gt;35,FZ89+FY90-GH89,IF(A90&lt;'Données projet'!$A$244,$FW$205^A90,IF(A90='Données projet'!$A$244,'Données projet'!$B$244,FZ89+FY90-GH89)))</f>
        <v>454.49999999999966</v>
      </c>
      <c r="GA90" s="18">
        <f>FZ90*VLOOKUP('Données projet'!$B$17,Paramètres!$A$1:$I$89,3,0)*VLOOKUP('Données projet'!$B$17,Paramètres!$A$1:$I$89,5,0)</f>
        <v>389.96099999999973</v>
      </c>
      <c r="GB90" s="14">
        <f t="shared" si="103"/>
        <v>89.738411052819643</v>
      </c>
      <c r="GC90" s="22">
        <f t="shared" si="79"/>
        <v>835.47647425032699</v>
      </c>
      <c r="GD90" s="60">
        <f t="shared" si="80"/>
        <v>1128.8098075836604</v>
      </c>
      <c r="GE90" s="60">
        <f ca="1">AVERAGE(OFFSET($GD$3,0,0,'Données projet'!$E$17+1,1))-AVERAGE(OFFSET($H$3,0,0,'Données projet'!$E$17+1,1))</f>
        <v>445.81166342116865</v>
      </c>
      <c r="GF90" s="60">
        <f t="shared" si="104"/>
        <v>230.82970731138215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5.6843418860808015E-14</v>
      </c>
      <c r="GV90" s="18">
        <f>GU90*VLOOKUP('Données projet'!$B$18,Paramètres!$A$1:$I$89,3,0)*VLOOKUP('Données projet'!$B$18,Paramètres!$A$1:$I$89,5,0)</f>
        <v>4.4337866711430253E-14</v>
      </c>
      <c r="GW90" s="14">
        <f t="shared" si="105"/>
        <v>7.3222115536967035E-13</v>
      </c>
      <c r="GX90" s="22">
        <f t="shared" si="82"/>
        <v>1.3525069634579169E-12</v>
      </c>
      <c r="GY90" s="60">
        <f t="shared" si="83"/>
        <v>293.33333333333468</v>
      </c>
      <c r="GZ90" s="60">
        <f ca="1">AVERAGE(OFFSET($GY$3,0,0,'Données projet'!$E$18+1,1))-AVERAGE(OFFSET($H$3,0,0,'Données projet'!$E$18+1,1))</f>
        <v>289.19475369871481</v>
      </c>
      <c r="HA90" s="60">
        <f t="shared" si="106"/>
        <v>283.48738729114024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projet'!$B$18,Paramètres!$A$1:$I$89,3,0)*0.475*44/12</f>
        <v>0</v>
      </c>
      <c r="HH90" s="23">
        <f>EXP(-LN(2)/25)*HH89+(1-EXP(-LN(2)/25))/(LN(2)/25)*Calculateur!HC90*Calculateur!HE90*VLOOKUP('Données projet'!$B$18,Paramètres!$A$1:$I$89,3,0)*0.475*44/12</f>
        <v>0</v>
      </c>
      <c r="HI90" s="23">
        <f>EXP(-LN(2)/2)*HI89+(1-EXP(-LN(2)/2))/(LN(2)/2)*HC90*HF90*VLOOKUP('Données projet'!$B$18,Paramètres!$A$1:$I$89,3,0)*0.475*44/12</f>
        <v>0</v>
      </c>
      <c r="HJ90" s="24">
        <f t="shared" si="84"/>
        <v>0</v>
      </c>
    </row>
    <row r="91" spans="1:218" s="5" customFormat="1" x14ac:dyDescent="0.3">
      <c r="A91" s="11">
        <f t="shared" si="85"/>
        <v>88</v>
      </c>
      <c r="B91" s="75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8">
        <f t="shared" si="56"/>
        <v>256.66666666666669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5.2</v>
      </c>
      <c r="N91" s="14">
        <f>IF('Données projet'!$A$36&gt;35,N90+M91-V90,IF(A91&lt;'Données projet'!$A$36,$K$205^A91,IF(A91='Données projet'!$A$36,'Données projet'!$B$36,N90+M91-V90)))</f>
        <v>263.59999999999991</v>
      </c>
      <c r="O91" s="14">
        <f>N91*VLOOKUP('Données projet'!$B$9,Paramètres!$A$1:$I$89,3,0)*VLOOKUP('Données projet'!$B$9,Paramètres!$A$1:$I$89,5,0)</f>
        <v>254.9539199999999</v>
      </c>
      <c r="P91" s="14">
        <f t="shared" si="87"/>
        <v>61.645533788540526</v>
      </c>
      <c r="Q91" s="22">
        <f t="shared" si="54"/>
        <v>551.41071534837454</v>
      </c>
      <c r="R91" s="60">
        <f t="shared" si="55"/>
        <v>844.74404868170791</v>
      </c>
      <c r="S91" s="60">
        <f ca="1">AVERAGE(OFFSET($R$3,0,0,'Données projet'!$E$9+1,1))-AVERAGE(OFFSET($H$3,0,0,'Données projet'!$E$9+1,1))</f>
        <v>456.86147223520601</v>
      </c>
      <c r="T91" s="60">
        <f t="shared" si="88"/>
        <v>244.45149244446094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2.5579538487363607E-13</v>
      </c>
      <c r="AJ91" s="14">
        <f>AI91*VLOOKUP('Données projet'!$B$10,Paramètres!$A$1:$I$89,3,0)*VLOOKUP('Données projet'!$B$10,Paramètres!$A$1:$I$89,5,0)</f>
        <v>1.6759713616920635E-13</v>
      </c>
      <c r="AK91" s="14">
        <f t="shared" si="89"/>
        <v>2.3709043131075133E-12</v>
      </c>
      <c r="AL91" s="22">
        <f t="shared" si="58"/>
        <v>4.4212233574902864E-12</v>
      </c>
      <c r="AM91" s="60">
        <f t="shared" si="59"/>
        <v>293.33333333333775</v>
      </c>
      <c r="AN91" s="60">
        <f ca="1">AVERAGE(OFFSET($AM$3,0,0,'Données projet'!$E$10+1,1))-AVERAGE(OFFSET($H$3,0,0,'Données projet'!$E$10+1,1))</f>
        <v>170.79567854714986</v>
      </c>
      <c r="AO91" s="60">
        <f t="shared" si="90"/>
        <v>155.92788004111191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-1.1368683772161603E-13</v>
      </c>
      <c r="BE91" s="14">
        <f>BD91*VLOOKUP('Données projet'!$B$11,Paramètres!$A$1:$I$89,3,0)*VLOOKUP('Données projet'!$B$11,Paramètres!$A$1:$I$89,5,0)</f>
        <v>-9.2222762759774927E-14</v>
      </c>
      <c r="BF91" s="14" t="e">
        <f t="shared" si="91"/>
        <v>#NUM!</v>
      </c>
      <c r="BG91" s="22" t="e">
        <f t="shared" si="61"/>
        <v>#NUM!</v>
      </c>
      <c r="BH91" s="60" t="e">
        <f t="shared" si="62"/>
        <v>#NUM!</v>
      </c>
      <c r="BI91" s="60">
        <f ca="1">AVERAGE(OFFSET($BH$3,0,0,'Données projet'!$E$11+1,1))-AVERAGE(OFFSET($H$3,0,0,'Données projet'!$E$11+1,1))</f>
        <v>256.19915261735281</v>
      </c>
      <c r="BJ91" s="60">
        <f t="shared" si="92"/>
        <v>297.47246687305056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3.5897435897435854</v>
      </c>
      <c r="BY91" s="13">
        <f>IF('Données projet'!$A$114&gt;35,BY90+BX91-CG90,IF(A91&lt;'Données projet'!$A$114,$BV$205^A91,IF(A91='Données projet'!$A$114,'Données projet'!$B$114,BY90+BX91-CG90)))</f>
        <v>210.12820512820508</v>
      </c>
      <c r="BZ91" s="14">
        <f>BY91*VLOOKUP('Données projet'!$B$12,Paramètres!$A$1:$I$89,3,0)*VLOOKUP('Données projet'!$B$12,Paramètres!$A$1:$I$89,5,0)</f>
        <v>199.95799999999994</v>
      </c>
      <c r="CA91" s="14">
        <f t="shared" si="93"/>
        <v>49.734937283774826</v>
      </c>
      <c r="CB91" s="22">
        <f t="shared" si="64"/>
        <v>434.88186576924096</v>
      </c>
      <c r="CC91" s="60">
        <f t="shared" si="65"/>
        <v>728.21519910257427</v>
      </c>
      <c r="CD91" s="60">
        <f ca="1">AVERAGE(OFFSET($CC$3,0,0,'Données projet'!$E$12+1,1))-AVERAGE(OFFSET($H$3,0,0,'Données projet'!$E$12+1,1))</f>
        <v>353.53401919391234</v>
      </c>
      <c r="CE91" s="60">
        <f t="shared" si="94"/>
        <v>244.7141066773861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5.2</v>
      </c>
      <c r="CT91" s="13">
        <f>IF('Données projet'!$A$140&gt;35,CT90+CS91-DB90,IF(A91&lt;'Données projet'!$A$140,$CQ$205^A91,IF(A91='Données projet'!$A$140,'Données projet'!$B$140,CT90+CS91-DB90)))</f>
        <v>263.59999999999991</v>
      </c>
      <c r="CU91" s="18">
        <f>CT91*VLOOKUP('Données projet'!$B$13,Paramètres!$A$1:$I$89,3,0)*VLOOKUP('Données projet'!$B$13,Paramètres!$A$1:$I$89,5,0)</f>
        <v>222.05663999999996</v>
      </c>
      <c r="CV91" s="14">
        <f t="shared" si="95"/>
        <v>54.561643903321311</v>
      </c>
      <c r="CW91" s="22">
        <f t="shared" si="67"/>
        <v>481.77684446495124</v>
      </c>
      <c r="CX91" s="60">
        <f t="shared" si="68"/>
        <v>775.11017779828455</v>
      </c>
      <c r="CY91" s="60">
        <f ca="1">AVERAGE(OFFSET($CX$3,0,0,'Données projet'!$E$13+1,1))-AVERAGE(OFFSET($H$3,0,0,'Données projet'!$E$13+1,1))</f>
        <v>403.33327536410098</v>
      </c>
      <c r="CZ91" s="60">
        <f t="shared" si="96"/>
        <v>218.26721063098552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3.4106051316484809E-13</v>
      </c>
      <c r="DP91" s="18">
        <f>DO91*VLOOKUP('Données projet'!$B$14,Paramètres!$A$1:$I$89,3,0)*VLOOKUP('Données projet'!$B$14,Paramètres!$A$1:$I$89,5,0)</f>
        <v>2.7134774427395314E-13</v>
      </c>
      <c r="DQ91" s="14">
        <f t="shared" si="97"/>
        <v>3.6292411711343559E-12</v>
      </c>
      <c r="DR91" s="22">
        <f t="shared" si="70"/>
        <v>6.7935256943361388E-12</v>
      </c>
      <c r="DS91" s="60">
        <f t="shared" si="71"/>
        <v>293.33333333334014</v>
      </c>
      <c r="DT91" s="60">
        <f ca="1">AVERAGE(OFFSET($DS$3,0,0,'Données projet'!$E$14+1,1))-AVERAGE(OFFSET($H$3,0,0,'Données projet'!$E$14+1,1))</f>
        <v>317.13087551964747</v>
      </c>
      <c r="DU91" s="60">
        <f t="shared" si="98"/>
        <v>293.43300041793185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1.7053025658242404E-13</v>
      </c>
      <c r="EK91" s="18">
        <f>EJ91*VLOOKUP('Données projet'!$B$15,Paramètres!$A$1:$I$89,3,0)*VLOOKUP('Données projet'!$B$15,Paramètres!$A$1:$I$89,5,0)</f>
        <v>1.3567387213697657E-13</v>
      </c>
      <c r="EL91" s="14">
        <f t="shared" si="99"/>
        <v>1.9670967679808581E-12</v>
      </c>
      <c r="EM91" s="22">
        <f t="shared" si="73"/>
        <v>3.6623255315385623E-12</v>
      </c>
      <c r="EN91" s="60">
        <f t="shared" si="74"/>
        <v>293.33333333333695</v>
      </c>
      <c r="EO91" s="60">
        <f ca="1">AVERAGE(OFFSET($EN$3,0,0,'Données projet'!$E$15+1,1))-AVERAGE(OFFSET($H$3,0,0,'Données projet'!$E$15+1,1))</f>
        <v>253.03289960511904</v>
      </c>
      <c r="EP91" s="60">
        <f t="shared" si="100"/>
        <v>236.85088713056018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1.7053025658242404E-13</v>
      </c>
      <c r="FF91" s="18">
        <f>FE91*VLOOKUP('Données projet'!$B$16,Paramètres!$A$1:$I$89,3,0)*VLOOKUP('Données projet'!$B$16,Paramètres!$A$1:$I$89,5,0)</f>
        <v>1.4897523215040567E-13</v>
      </c>
      <c r="FG91" s="14">
        <f t="shared" si="101"/>
        <v>2.136562777003313E-12</v>
      </c>
      <c r="FH91" s="22">
        <f t="shared" si="76"/>
        <v>3.9806453659427267E-12</v>
      </c>
      <c r="FI91" s="60">
        <f t="shared" si="77"/>
        <v>293.33333333333729</v>
      </c>
      <c r="FJ91" s="60">
        <f ca="1">AVERAGE(OFFSET($FI$3,0,0,'Données projet'!$E$16+1,1))-AVERAGE(OFFSET($H$3,0,0,'Données projet'!$E$16+1,1))</f>
        <v>274.38315511766132</v>
      </c>
      <c r="FK91" s="60">
        <f t="shared" si="102"/>
        <v>255.96663040027175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11.5</v>
      </c>
      <c r="FZ91" s="13">
        <f>IF('Données projet'!$A$244&gt;35,FZ90+FY91-GH90,IF(A91&lt;'Données projet'!$A$244,$FW$205^A91,IF(A91='Données projet'!$A$244,'Données projet'!$B$244,FZ90+FY91-GH90)))</f>
        <v>465.99999999999966</v>
      </c>
      <c r="GA91" s="18">
        <f>FZ91*VLOOKUP('Données projet'!$B$17,Paramètres!$A$1:$I$89,3,0)*VLOOKUP('Données projet'!$B$17,Paramètres!$A$1:$I$89,5,0)</f>
        <v>399.82799999999975</v>
      </c>
      <c r="GB91" s="14">
        <f t="shared" si="103"/>
        <v>91.741793988042701</v>
      </c>
      <c r="GC91" s="22">
        <f t="shared" si="79"/>
        <v>856.15072452917377</v>
      </c>
      <c r="GD91" s="60">
        <f t="shared" si="80"/>
        <v>1149.4840578625071</v>
      </c>
      <c r="GE91" s="60">
        <f ca="1">AVERAGE(OFFSET($GD$3,0,0,'Données projet'!$E$17+1,1))-AVERAGE(OFFSET($H$3,0,0,'Données projet'!$E$17+1,1))</f>
        <v>445.81166342116865</v>
      </c>
      <c r="GF91" s="60">
        <f t="shared" si="104"/>
        <v>230.82970731138215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5.6843418860808015E-14</v>
      </c>
      <c r="GV91" s="18">
        <f>GU91*VLOOKUP('Données projet'!$B$18,Paramètres!$A$1:$I$89,3,0)*VLOOKUP('Données projet'!$B$18,Paramètres!$A$1:$I$89,5,0)</f>
        <v>4.4337866711430253E-14</v>
      </c>
      <c r="GW91" s="14">
        <f t="shared" si="105"/>
        <v>7.3222115536967035E-13</v>
      </c>
      <c r="GX91" s="22">
        <f t="shared" si="82"/>
        <v>1.3525069634579169E-12</v>
      </c>
      <c r="GY91" s="60">
        <f t="shared" si="83"/>
        <v>293.33333333333468</v>
      </c>
      <c r="GZ91" s="60">
        <f ca="1">AVERAGE(OFFSET($GY$3,0,0,'Données projet'!$E$18+1,1))-AVERAGE(OFFSET($H$3,0,0,'Données projet'!$E$18+1,1))</f>
        <v>289.19475369871481</v>
      </c>
      <c r="HA91" s="60">
        <f t="shared" si="106"/>
        <v>283.48738729114024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projet'!$B$18,Paramètres!$A$1:$I$89,3,0)*0.475*44/12</f>
        <v>0</v>
      </c>
      <c r="HH91" s="23">
        <f>EXP(-LN(2)/25)*HH90+(1-EXP(-LN(2)/25))/(LN(2)/25)*Calculateur!HC91*Calculateur!HE91*VLOOKUP('Données projet'!$B$18,Paramètres!$A$1:$I$89,3,0)*0.475*44/12</f>
        <v>0</v>
      </c>
      <c r="HI91" s="23">
        <f>EXP(-LN(2)/2)*HI90+(1-EXP(-LN(2)/2))/(LN(2)/2)*HC91*HF91*VLOOKUP('Données projet'!$B$18,Paramètres!$A$1:$I$89,3,0)*0.475*44/12</f>
        <v>0</v>
      </c>
      <c r="HJ91" s="24">
        <f t="shared" si="84"/>
        <v>0</v>
      </c>
    </row>
    <row r="92" spans="1:218" s="5" customFormat="1" x14ac:dyDescent="0.3">
      <c r="A92" s="11">
        <f t="shared" si="85"/>
        <v>89</v>
      </c>
      <c r="B92" s="75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8">
        <f t="shared" si="56"/>
        <v>256.66666666666669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5.2</v>
      </c>
      <c r="N92" s="14">
        <f>IF('Données projet'!$A$36&gt;35,N91+M92-V91,IF(A92&lt;'Données projet'!$A$36,$K$205^A92,IF(A92='Données projet'!$A$36,'Données projet'!$B$36,N91+M92-V91)))</f>
        <v>268.7999999999999</v>
      </c>
      <c r="O92" s="14">
        <f>N92*VLOOKUP('Données projet'!$B$9,Paramètres!$A$1:$I$89,3,0)*VLOOKUP('Données projet'!$B$9,Paramètres!$A$1:$I$89,5,0)</f>
        <v>259.98335999999995</v>
      </c>
      <c r="P92" s="14">
        <f t="shared" si="87"/>
        <v>62.718830967388243</v>
      </c>
      <c r="Q92" s="22">
        <f t="shared" si="54"/>
        <v>562.03964926820106</v>
      </c>
      <c r="R92" s="60">
        <f t="shared" si="55"/>
        <v>855.37298260153443</v>
      </c>
      <c r="S92" s="60">
        <f ca="1">AVERAGE(OFFSET($R$3,0,0,'Données projet'!$E$9+1,1))-AVERAGE(OFFSET($H$3,0,0,'Données projet'!$E$9+1,1))</f>
        <v>456.86147223520601</v>
      </c>
      <c r="T92" s="60">
        <f t="shared" si="88"/>
        <v>244.45149244446094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2.5579538487363607E-13</v>
      </c>
      <c r="AJ92" s="14">
        <f>AI92*VLOOKUP('Données projet'!$B$10,Paramètres!$A$1:$I$89,3,0)*VLOOKUP('Données projet'!$B$10,Paramètres!$A$1:$I$89,5,0)</f>
        <v>1.6759713616920635E-13</v>
      </c>
      <c r="AK92" s="14">
        <f t="shared" si="89"/>
        <v>2.3709043131075133E-12</v>
      </c>
      <c r="AL92" s="22">
        <f t="shared" si="58"/>
        <v>4.4212233574902864E-12</v>
      </c>
      <c r="AM92" s="60">
        <f t="shared" si="59"/>
        <v>293.33333333333775</v>
      </c>
      <c r="AN92" s="60">
        <f ca="1">AVERAGE(OFFSET($AM$3,0,0,'Données projet'!$E$10+1,1))-AVERAGE(OFFSET($H$3,0,0,'Données projet'!$E$10+1,1))</f>
        <v>170.79567854714986</v>
      </c>
      <c r="AO92" s="60">
        <f t="shared" si="90"/>
        <v>155.92788004111191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-1.1368683772161603E-13</v>
      </c>
      <c r="BE92" s="14">
        <f>BD92*VLOOKUP('Données projet'!$B$11,Paramètres!$A$1:$I$89,3,0)*VLOOKUP('Données projet'!$B$11,Paramètres!$A$1:$I$89,5,0)</f>
        <v>-9.2222762759774927E-14</v>
      </c>
      <c r="BF92" s="14" t="e">
        <f t="shared" si="91"/>
        <v>#NUM!</v>
      </c>
      <c r="BG92" s="22" t="e">
        <f t="shared" si="61"/>
        <v>#NUM!</v>
      </c>
      <c r="BH92" s="60" t="e">
        <f t="shared" si="62"/>
        <v>#NUM!</v>
      </c>
      <c r="BI92" s="60">
        <f ca="1">AVERAGE(OFFSET($BH$3,0,0,'Données projet'!$E$11+1,1))-AVERAGE(OFFSET($H$3,0,0,'Données projet'!$E$11+1,1))</f>
        <v>256.19915261735281</v>
      </c>
      <c r="BJ92" s="60">
        <f t="shared" si="92"/>
        <v>297.47246687305056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3.5897435897435854</v>
      </c>
      <c r="BY92" s="13">
        <f>IF('Données projet'!$A$114&gt;35,BY91+BX92-CG91,IF(A92&lt;'Données projet'!$A$114,$BV$205^A92,IF(A92='Données projet'!$A$114,'Données projet'!$B$114,BY91+BX92-CG91)))</f>
        <v>213.71794871794867</v>
      </c>
      <c r="BZ92" s="14">
        <f>BY92*VLOOKUP('Données projet'!$B$12,Paramètres!$A$1:$I$89,3,0)*VLOOKUP('Données projet'!$B$12,Paramètres!$A$1:$I$89,5,0)</f>
        <v>203.37399999999994</v>
      </c>
      <c r="CA92" s="14">
        <f t="shared" si="93"/>
        <v>50.48494730176543</v>
      </c>
      <c r="CB92" s="22">
        <f t="shared" si="64"/>
        <v>442.13766655057469</v>
      </c>
      <c r="CC92" s="60">
        <f t="shared" si="65"/>
        <v>735.47099988390801</v>
      </c>
      <c r="CD92" s="60">
        <f ca="1">AVERAGE(OFFSET($CC$3,0,0,'Données projet'!$E$12+1,1))-AVERAGE(OFFSET($H$3,0,0,'Données projet'!$E$12+1,1))</f>
        <v>353.53401919391234</v>
      </c>
      <c r="CE92" s="60">
        <f t="shared" si="94"/>
        <v>244.7141066773861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5.2</v>
      </c>
      <c r="CT92" s="13">
        <f>IF('Données projet'!$A$140&gt;35,CT91+CS92-DB91,IF(A92&lt;'Données projet'!$A$140,$CQ$205^A92,IF(A92='Données projet'!$A$140,'Données projet'!$B$140,CT91+CS92-DB91)))</f>
        <v>268.7999999999999</v>
      </c>
      <c r="CU92" s="18">
        <f>CT92*VLOOKUP('Données projet'!$B$13,Paramètres!$A$1:$I$89,3,0)*VLOOKUP('Données projet'!$B$13,Paramètres!$A$1:$I$89,5,0)</f>
        <v>226.43711999999994</v>
      </c>
      <c r="CV92" s="14">
        <f t="shared" si="95"/>
        <v>55.5116049933753</v>
      </c>
      <c r="CW92" s="22">
        <f t="shared" si="67"/>
        <v>491.06069603012844</v>
      </c>
      <c r="CX92" s="60">
        <f t="shared" si="68"/>
        <v>784.39402936346175</v>
      </c>
      <c r="CY92" s="60">
        <f ca="1">AVERAGE(OFFSET($CX$3,0,0,'Données projet'!$E$13+1,1))-AVERAGE(OFFSET($H$3,0,0,'Données projet'!$E$13+1,1))</f>
        <v>403.33327536410098</v>
      </c>
      <c r="CZ92" s="60">
        <f t="shared" si="96"/>
        <v>218.26721063098552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3.4106051316484809E-13</v>
      </c>
      <c r="DP92" s="18">
        <f>DO92*VLOOKUP('Données projet'!$B$14,Paramètres!$A$1:$I$89,3,0)*VLOOKUP('Données projet'!$B$14,Paramètres!$A$1:$I$89,5,0)</f>
        <v>2.7134774427395314E-13</v>
      </c>
      <c r="DQ92" s="14">
        <f t="shared" si="97"/>
        <v>3.6292411711343559E-12</v>
      </c>
      <c r="DR92" s="22">
        <f t="shared" si="70"/>
        <v>6.7935256943361388E-12</v>
      </c>
      <c r="DS92" s="60">
        <f t="shared" si="71"/>
        <v>293.33333333334014</v>
      </c>
      <c r="DT92" s="60">
        <f ca="1">AVERAGE(OFFSET($DS$3,0,0,'Données projet'!$E$14+1,1))-AVERAGE(OFFSET($H$3,0,0,'Données projet'!$E$14+1,1))</f>
        <v>317.13087551964747</v>
      </c>
      <c r="DU92" s="60">
        <f t="shared" si="98"/>
        <v>293.43300041793185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1.7053025658242404E-13</v>
      </c>
      <c r="EK92" s="18">
        <f>EJ92*VLOOKUP('Données projet'!$B$15,Paramètres!$A$1:$I$89,3,0)*VLOOKUP('Données projet'!$B$15,Paramètres!$A$1:$I$89,5,0)</f>
        <v>1.3567387213697657E-13</v>
      </c>
      <c r="EL92" s="14">
        <f t="shared" si="99"/>
        <v>1.9670967679808581E-12</v>
      </c>
      <c r="EM92" s="22">
        <f t="shared" si="73"/>
        <v>3.6623255315385623E-12</v>
      </c>
      <c r="EN92" s="60">
        <f t="shared" si="74"/>
        <v>293.33333333333695</v>
      </c>
      <c r="EO92" s="60">
        <f ca="1">AVERAGE(OFFSET($EN$3,0,0,'Données projet'!$E$15+1,1))-AVERAGE(OFFSET($H$3,0,0,'Données projet'!$E$15+1,1))</f>
        <v>253.03289960511904</v>
      </c>
      <c r="EP92" s="60">
        <f t="shared" si="100"/>
        <v>236.85088713056018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1.7053025658242404E-13</v>
      </c>
      <c r="FF92" s="18">
        <f>FE92*VLOOKUP('Données projet'!$B$16,Paramètres!$A$1:$I$89,3,0)*VLOOKUP('Données projet'!$B$16,Paramètres!$A$1:$I$89,5,0)</f>
        <v>1.4897523215040567E-13</v>
      </c>
      <c r="FG92" s="14">
        <f t="shared" si="101"/>
        <v>2.136562777003313E-12</v>
      </c>
      <c r="FH92" s="22">
        <f t="shared" si="76"/>
        <v>3.9806453659427267E-12</v>
      </c>
      <c r="FI92" s="60">
        <f t="shared" si="77"/>
        <v>293.33333333333729</v>
      </c>
      <c r="FJ92" s="60">
        <f ca="1">AVERAGE(OFFSET($FI$3,0,0,'Données projet'!$E$16+1,1))-AVERAGE(OFFSET($H$3,0,0,'Données projet'!$E$16+1,1))</f>
        <v>274.38315511766132</v>
      </c>
      <c r="FK92" s="60">
        <f t="shared" si="102"/>
        <v>255.96663040027175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11.5</v>
      </c>
      <c r="FZ92" s="13">
        <f>IF('Données projet'!$A$244&gt;35,FZ91+FY92-GH91,IF(A92&lt;'Données projet'!$A$244,$FW$205^A92,IF(A92='Données projet'!$A$244,'Données projet'!$B$244,FZ91+FY92-GH91)))</f>
        <v>477.49999999999966</v>
      </c>
      <c r="GA92" s="18">
        <f>FZ92*VLOOKUP('Données projet'!$B$17,Paramètres!$A$1:$I$89,3,0)*VLOOKUP('Données projet'!$B$17,Paramètres!$A$1:$I$89,5,0)</f>
        <v>409.69499999999977</v>
      </c>
      <c r="GB92" s="14">
        <f t="shared" si="103"/>
        <v>93.739429782288525</v>
      </c>
      <c r="GC92" s="22">
        <f t="shared" si="79"/>
        <v>876.81496520415214</v>
      </c>
      <c r="GD92" s="60">
        <f t="shared" si="80"/>
        <v>1170.1482985374855</v>
      </c>
      <c r="GE92" s="60">
        <f ca="1">AVERAGE(OFFSET($GD$3,0,0,'Données projet'!$E$17+1,1))-AVERAGE(OFFSET($H$3,0,0,'Données projet'!$E$17+1,1))</f>
        <v>445.81166342116865</v>
      </c>
      <c r="GF92" s="60">
        <f t="shared" si="104"/>
        <v>230.82970731138215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5.6843418860808015E-14</v>
      </c>
      <c r="GV92" s="18">
        <f>GU92*VLOOKUP('Données projet'!$B$18,Paramètres!$A$1:$I$89,3,0)*VLOOKUP('Données projet'!$B$18,Paramètres!$A$1:$I$89,5,0)</f>
        <v>4.4337866711430253E-14</v>
      </c>
      <c r="GW92" s="14">
        <f t="shared" si="105"/>
        <v>7.3222115536967035E-13</v>
      </c>
      <c r="GX92" s="22">
        <f t="shared" si="82"/>
        <v>1.3525069634579169E-12</v>
      </c>
      <c r="GY92" s="60">
        <f t="shared" si="83"/>
        <v>293.33333333333468</v>
      </c>
      <c r="GZ92" s="60">
        <f ca="1">AVERAGE(OFFSET($GY$3,0,0,'Données projet'!$E$18+1,1))-AVERAGE(OFFSET($H$3,0,0,'Données projet'!$E$18+1,1))</f>
        <v>289.19475369871481</v>
      </c>
      <c r="HA92" s="60">
        <f t="shared" si="106"/>
        <v>283.48738729114024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projet'!$B$18,Paramètres!$A$1:$I$89,3,0)*0.475*44/12</f>
        <v>0</v>
      </c>
      <c r="HH92" s="23">
        <f>EXP(-LN(2)/25)*HH91+(1-EXP(-LN(2)/25))/(LN(2)/25)*Calculateur!HC92*Calculateur!HE92*VLOOKUP('Données projet'!$B$18,Paramètres!$A$1:$I$89,3,0)*0.475*44/12</f>
        <v>0</v>
      </c>
      <c r="HI92" s="23">
        <f>EXP(-LN(2)/2)*HI91+(1-EXP(-LN(2)/2))/(LN(2)/2)*HC92*HF92*VLOOKUP('Données projet'!$B$18,Paramètres!$A$1:$I$89,3,0)*0.475*44/12</f>
        <v>0</v>
      </c>
      <c r="HJ92" s="24">
        <f t="shared" si="84"/>
        <v>0</v>
      </c>
    </row>
    <row r="93" spans="1:218" s="5" customFormat="1" x14ac:dyDescent="0.3">
      <c r="A93" s="11">
        <f t="shared" si="85"/>
        <v>90</v>
      </c>
      <c r="B93" s="75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8">
        <f t="shared" si="56"/>
        <v>256.66666666666669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5.2</v>
      </c>
      <c r="N93" s="14">
        <f>IF('Données projet'!$A$36&gt;35,N92+M93-V92,IF(A93&lt;'Données projet'!$A$36,$K$205^A93,IF(A93='Données projet'!$A$36,'Données projet'!$B$36,N92+M93-V92)))</f>
        <v>273.99999999999989</v>
      </c>
      <c r="O93" s="14">
        <f>N93*VLOOKUP('Données projet'!$B$9,Paramètres!$A$1:$I$89,3,0)*VLOOKUP('Données projet'!$B$9,Paramètres!$A$1:$I$89,5,0)</f>
        <v>265.01279999999991</v>
      </c>
      <c r="P93" s="14">
        <f t="shared" si="87"/>
        <v>63.789713870852729</v>
      </c>
      <c r="Q93" s="22">
        <f t="shared" si="54"/>
        <v>572.66437832506824</v>
      </c>
      <c r="R93" s="60">
        <f t="shared" si="55"/>
        <v>865.99771165840161</v>
      </c>
      <c r="S93" s="60">
        <f ca="1">AVERAGE(OFFSET($R$3,0,0,'Données projet'!$E$9+1,1))-AVERAGE(OFFSET($H$3,0,0,'Données projet'!$E$9+1,1))</f>
        <v>456.86147223520601</v>
      </c>
      <c r="T93" s="60">
        <f t="shared" si="88"/>
        <v>244.45149244446094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2.5579538487363607E-13</v>
      </c>
      <c r="AJ93" s="14">
        <f>AI93*VLOOKUP('Données projet'!$B$10,Paramètres!$A$1:$I$89,3,0)*VLOOKUP('Données projet'!$B$10,Paramètres!$A$1:$I$89,5,0)</f>
        <v>1.6759713616920635E-13</v>
      </c>
      <c r="AK93" s="14">
        <f t="shared" si="89"/>
        <v>2.3709043131075133E-12</v>
      </c>
      <c r="AL93" s="22">
        <f t="shared" si="58"/>
        <v>4.4212233574902864E-12</v>
      </c>
      <c r="AM93" s="60">
        <f t="shared" si="59"/>
        <v>293.33333333333775</v>
      </c>
      <c r="AN93" s="60">
        <f ca="1">AVERAGE(OFFSET($AM$3,0,0,'Données projet'!$E$10+1,1))-AVERAGE(OFFSET($H$3,0,0,'Données projet'!$E$10+1,1))</f>
        <v>170.79567854714986</v>
      </c>
      <c r="AO93" s="60">
        <f t="shared" si="90"/>
        <v>155.92788004111191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-1.1368683772161603E-13</v>
      </c>
      <c r="BE93" s="14">
        <f>BD93*VLOOKUP('Données projet'!$B$11,Paramètres!$A$1:$I$89,3,0)*VLOOKUP('Données projet'!$B$11,Paramètres!$A$1:$I$89,5,0)</f>
        <v>-9.2222762759774927E-14</v>
      </c>
      <c r="BF93" s="14" t="e">
        <f t="shared" si="91"/>
        <v>#NUM!</v>
      </c>
      <c r="BG93" s="22" t="e">
        <f t="shared" si="61"/>
        <v>#NUM!</v>
      </c>
      <c r="BH93" s="60" t="e">
        <f t="shared" si="62"/>
        <v>#NUM!</v>
      </c>
      <c r="BI93" s="60">
        <f ca="1">AVERAGE(OFFSET($BH$3,0,0,'Données projet'!$E$11+1,1))-AVERAGE(OFFSET($H$3,0,0,'Données projet'!$E$11+1,1))</f>
        <v>256.19915261735281</v>
      </c>
      <c r="BJ93" s="60">
        <f t="shared" si="92"/>
        <v>297.47246687305056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217.30769230769229</v>
      </c>
      <c r="BW93" s="13">
        <f>VLOOKUP(A93,'Données projet'!$A$113:$I$133,9,0)</f>
        <v>3.5897435897435854</v>
      </c>
      <c r="BX93" s="13">
        <f t="array" ref="BX93">INDEX(BW:BW,MIN(IF(ISNUMBER(BW93:BW289),ROW(BW93:BW289),"")))</f>
        <v>3.5897435897435854</v>
      </c>
      <c r="BY93" s="13">
        <f>IF('Données projet'!$A$114&gt;35,BY92+BX93-CG92,IF(A93&lt;'Données projet'!$A$114,$BV$205^A93,IF(A93='Données projet'!$A$114,'Données projet'!$B$114,BY92+BX93-CG92)))</f>
        <v>217.30769230769226</v>
      </c>
      <c r="BZ93" s="14">
        <f>BY93*VLOOKUP('Données projet'!$B$12,Paramètres!$A$1:$I$89,3,0)*VLOOKUP('Données projet'!$B$12,Paramètres!$A$1:$I$89,5,0)</f>
        <v>206.78999999999994</v>
      </c>
      <c r="CA93" s="14">
        <f t="shared" si="93"/>
        <v>51.233492313143493</v>
      </c>
      <c r="CB93" s="22">
        <f t="shared" si="64"/>
        <v>449.39091577872478</v>
      </c>
      <c r="CC93" s="60">
        <f t="shared" si="65"/>
        <v>742.72424911205803</v>
      </c>
      <c r="CD93" s="60">
        <f ca="1">AVERAGE(OFFSET($CC$3,0,0,'Données projet'!$E$12+1,1))-AVERAGE(OFFSET($H$3,0,0,'Données projet'!$E$12+1,1))</f>
        <v>353.53401919391234</v>
      </c>
      <c r="CE93" s="60">
        <f t="shared" si="94"/>
        <v>244.7141066773861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5.2</v>
      </c>
      <c r="CT93" s="13">
        <f>IF('Données projet'!$A$140&gt;35,CT92+CS93-DB92,IF(A93&lt;'Données projet'!$A$140,$CQ$205^A93,IF(A93='Données projet'!$A$140,'Données projet'!$B$140,CT92+CS93-DB92)))</f>
        <v>273.99999999999989</v>
      </c>
      <c r="CU93" s="18">
        <f>CT93*VLOOKUP('Données projet'!$B$13,Paramètres!$A$1:$I$89,3,0)*VLOOKUP('Données projet'!$B$13,Paramètres!$A$1:$I$89,5,0)</f>
        <v>230.81759999999994</v>
      </c>
      <c r="CV93" s="14">
        <f t="shared" si="95"/>
        <v>56.459429240325889</v>
      </c>
      <c r="CW93" s="22">
        <f t="shared" si="67"/>
        <v>500.34082592690078</v>
      </c>
      <c r="CX93" s="60">
        <f t="shared" si="68"/>
        <v>793.67415926023409</v>
      </c>
      <c r="CY93" s="60">
        <f ca="1">AVERAGE(OFFSET($CX$3,0,0,'Données projet'!$E$13+1,1))-AVERAGE(OFFSET($H$3,0,0,'Données projet'!$E$13+1,1))</f>
        <v>403.33327536410098</v>
      </c>
      <c r="CZ93" s="60">
        <f t="shared" si="96"/>
        <v>218.26721063098552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3.4106051316484809E-13</v>
      </c>
      <c r="DP93" s="18">
        <f>DO93*VLOOKUP('Données projet'!$B$14,Paramètres!$A$1:$I$89,3,0)*VLOOKUP('Données projet'!$B$14,Paramètres!$A$1:$I$89,5,0)</f>
        <v>2.7134774427395314E-13</v>
      </c>
      <c r="DQ93" s="14">
        <f t="shared" si="97"/>
        <v>3.6292411711343559E-12</v>
      </c>
      <c r="DR93" s="22">
        <f t="shared" si="70"/>
        <v>6.7935256943361388E-12</v>
      </c>
      <c r="DS93" s="60">
        <f t="shared" si="71"/>
        <v>293.33333333334014</v>
      </c>
      <c r="DT93" s="60">
        <f ca="1">AVERAGE(OFFSET($DS$3,0,0,'Données projet'!$E$14+1,1))-AVERAGE(OFFSET($H$3,0,0,'Données projet'!$E$14+1,1))</f>
        <v>317.13087551964747</v>
      </c>
      <c r="DU93" s="60">
        <f t="shared" si="98"/>
        <v>293.43300041793185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1.7053025658242404E-13</v>
      </c>
      <c r="EK93" s="18">
        <f>EJ93*VLOOKUP('Données projet'!$B$15,Paramètres!$A$1:$I$89,3,0)*VLOOKUP('Données projet'!$B$15,Paramètres!$A$1:$I$89,5,0)</f>
        <v>1.3567387213697657E-13</v>
      </c>
      <c r="EL93" s="14">
        <f t="shared" si="99"/>
        <v>1.9670967679808581E-12</v>
      </c>
      <c r="EM93" s="22">
        <f t="shared" si="73"/>
        <v>3.6623255315385623E-12</v>
      </c>
      <c r="EN93" s="60">
        <f t="shared" si="74"/>
        <v>293.33333333333695</v>
      </c>
      <c r="EO93" s="60">
        <f ca="1">AVERAGE(OFFSET($EN$3,0,0,'Données projet'!$E$15+1,1))-AVERAGE(OFFSET($H$3,0,0,'Données projet'!$E$15+1,1))</f>
        <v>253.03289960511904</v>
      </c>
      <c r="EP93" s="60">
        <f t="shared" si="100"/>
        <v>236.85088713056018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1.7053025658242404E-13</v>
      </c>
      <c r="FF93" s="18">
        <f>FE93*VLOOKUP('Données projet'!$B$16,Paramètres!$A$1:$I$89,3,0)*VLOOKUP('Données projet'!$B$16,Paramètres!$A$1:$I$89,5,0)</f>
        <v>1.4897523215040567E-13</v>
      </c>
      <c r="FG93" s="14">
        <f t="shared" si="101"/>
        <v>2.136562777003313E-12</v>
      </c>
      <c r="FH93" s="22">
        <f t="shared" si="76"/>
        <v>3.9806453659427267E-12</v>
      </c>
      <c r="FI93" s="60">
        <f t="shared" si="77"/>
        <v>293.33333333333729</v>
      </c>
      <c r="FJ93" s="60">
        <f ca="1">AVERAGE(OFFSET($FI$3,0,0,'Données projet'!$E$16+1,1))-AVERAGE(OFFSET($H$3,0,0,'Données projet'!$E$16+1,1))</f>
        <v>274.38315511766132</v>
      </c>
      <c r="FK93" s="60">
        <f t="shared" si="102"/>
        <v>255.96663040027175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>
        <f>VLOOKUP(A93,'Données projet'!$A$243:$I$263,2,0)</f>
        <v>489</v>
      </c>
      <c r="FX93" s="13">
        <f>VLOOKUP(A93,'Données projet'!$A$243:$I$263,9,0)</f>
        <v>11.5</v>
      </c>
      <c r="FY93" s="13">
        <f t="array" ref="FY93">INDEX(FX:FX,MIN(IF(ISNUMBER(FX93:FX289),ROW(FX93:FX289),"")))</f>
        <v>11.5</v>
      </c>
      <c r="FZ93" s="13">
        <f>IF('Données projet'!$A$244&gt;35,FZ92+FY93-GH92,IF(A93&lt;'Données projet'!$A$244,$FW$205^A93,IF(A93='Données projet'!$A$244,'Données projet'!$B$244,FZ92+FY93-GH92)))</f>
        <v>488.99999999999966</v>
      </c>
      <c r="GA93" s="18">
        <f>FZ93*VLOOKUP('Données projet'!$B$17,Paramètres!$A$1:$I$89,3,0)*VLOOKUP('Données projet'!$B$17,Paramètres!$A$1:$I$89,5,0)</f>
        <v>419.56199999999973</v>
      </c>
      <c r="GB93" s="14">
        <f t="shared" si="103"/>
        <v>95.731472773408413</v>
      </c>
      <c r="GC93" s="22">
        <f t="shared" si="79"/>
        <v>897.46946508035228</v>
      </c>
      <c r="GD93" s="60">
        <f t="shared" si="80"/>
        <v>1190.8027984136857</v>
      </c>
      <c r="GE93" s="60">
        <f ca="1">AVERAGE(OFFSET($GD$3,0,0,'Données projet'!$E$17+1,1))-AVERAGE(OFFSET($H$3,0,0,'Données projet'!$E$17+1,1))</f>
        <v>445.81166342116865</v>
      </c>
      <c r="GF93" s="60">
        <f t="shared" si="104"/>
        <v>230.82970731138215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5.6843418860808015E-14</v>
      </c>
      <c r="GV93" s="18">
        <f>GU93*VLOOKUP('Données projet'!$B$18,Paramètres!$A$1:$I$89,3,0)*VLOOKUP('Données projet'!$B$18,Paramètres!$A$1:$I$89,5,0)</f>
        <v>4.4337866711430253E-14</v>
      </c>
      <c r="GW93" s="14">
        <f t="shared" si="105"/>
        <v>7.3222115536967035E-13</v>
      </c>
      <c r="GX93" s="22">
        <f t="shared" si="82"/>
        <v>1.3525069634579169E-12</v>
      </c>
      <c r="GY93" s="60">
        <f t="shared" si="83"/>
        <v>293.33333333333468</v>
      </c>
      <c r="GZ93" s="60">
        <f ca="1">AVERAGE(OFFSET($GY$3,0,0,'Données projet'!$E$18+1,1))-AVERAGE(OFFSET($H$3,0,0,'Données projet'!$E$18+1,1))</f>
        <v>289.19475369871481</v>
      </c>
      <c r="HA93" s="60">
        <f t="shared" si="106"/>
        <v>283.48738729114024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projet'!$B$18,Paramètres!$A$1:$I$89,3,0)*0.475*44/12</f>
        <v>0</v>
      </c>
      <c r="HH93" s="23">
        <f>EXP(-LN(2)/25)*HH92+(1-EXP(-LN(2)/25))/(LN(2)/25)*Calculateur!HC93*Calculateur!HE93*VLOOKUP('Données projet'!$B$18,Paramètres!$A$1:$I$89,3,0)*0.475*44/12</f>
        <v>0</v>
      </c>
      <c r="HI93" s="23">
        <f>EXP(-LN(2)/2)*HI92+(1-EXP(-LN(2)/2))/(LN(2)/2)*HC93*HF93*VLOOKUP('Données projet'!$B$18,Paramètres!$A$1:$I$89,3,0)*0.475*44/12</f>
        <v>0</v>
      </c>
      <c r="HJ93" s="24">
        <f t="shared" si="84"/>
        <v>0</v>
      </c>
    </row>
    <row r="94" spans="1:218" s="5" customFormat="1" x14ac:dyDescent="0.3">
      <c r="A94" s="11">
        <f t="shared" si="85"/>
        <v>91</v>
      </c>
      <c r="B94" s="75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8">
        <f t="shared" si="56"/>
        <v>256.66666666666669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5.2</v>
      </c>
      <c r="N94" s="14">
        <f>IF('Données projet'!$A$36&gt;35,N93+M94-V93,IF(A94&lt;'Données projet'!$A$36,$K$205^A94,IF(A94='Données projet'!$A$36,'Données projet'!$B$36,N93+M94-V93)))</f>
        <v>279.19999999999987</v>
      </c>
      <c r="O94" s="14">
        <f>N94*VLOOKUP('Données projet'!$B$9,Paramètres!$A$1:$I$89,3,0)*VLOOKUP('Données projet'!$B$9,Paramètres!$A$1:$I$89,5,0)</f>
        <v>270.04223999999988</v>
      </c>
      <c r="P94" s="14">
        <f t="shared" si="87"/>
        <v>64.858233600288088</v>
      </c>
      <c r="Q94" s="22">
        <f t="shared" si="54"/>
        <v>583.28499152050153</v>
      </c>
      <c r="R94" s="60">
        <f t="shared" si="55"/>
        <v>876.61832485383479</v>
      </c>
      <c r="S94" s="60">
        <f ca="1">AVERAGE(OFFSET($R$3,0,0,'Données projet'!$E$9+1,1))-AVERAGE(OFFSET($H$3,0,0,'Données projet'!$E$9+1,1))</f>
        <v>456.86147223520601</v>
      </c>
      <c r="T94" s="60">
        <f t="shared" si="88"/>
        <v>244.45149244446094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2.5579538487363607E-13</v>
      </c>
      <c r="AJ94" s="14">
        <f>AI94*VLOOKUP('Données projet'!$B$10,Paramètres!$A$1:$I$89,3,0)*VLOOKUP('Données projet'!$B$10,Paramètres!$A$1:$I$89,5,0)</f>
        <v>1.6759713616920635E-13</v>
      </c>
      <c r="AK94" s="14">
        <f t="shared" si="89"/>
        <v>2.3709043131075133E-12</v>
      </c>
      <c r="AL94" s="22">
        <f t="shared" si="58"/>
        <v>4.4212233574902864E-12</v>
      </c>
      <c r="AM94" s="60">
        <f t="shared" si="59"/>
        <v>293.33333333333775</v>
      </c>
      <c r="AN94" s="60">
        <f ca="1">AVERAGE(OFFSET($AM$3,0,0,'Données projet'!$E$10+1,1))-AVERAGE(OFFSET($H$3,0,0,'Données projet'!$E$10+1,1))</f>
        <v>170.79567854714986</v>
      </c>
      <c r="AO94" s="60">
        <f t="shared" si="90"/>
        <v>155.92788004111191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-1.1368683772161603E-13</v>
      </c>
      <c r="BE94" s="14">
        <f>BD94*VLOOKUP('Données projet'!$B$11,Paramètres!$A$1:$I$89,3,0)*VLOOKUP('Données projet'!$B$11,Paramètres!$A$1:$I$89,5,0)</f>
        <v>-9.2222762759774927E-14</v>
      </c>
      <c r="BF94" s="14" t="e">
        <f t="shared" si="91"/>
        <v>#NUM!</v>
      </c>
      <c r="BG94" s="22" t="e">
        <f t="shared" si="61"/>
        <v>#NUM!</v>
      </c>
      <c r="BH94" s="60" t="e">
        <f t="shared" si="62"/>
        <v>#NUM!</v>
      </c>
      <c r="BI94" s="60">
        <f ca="1">AVERAGE(OFFSET($BH$3,0,0,'Données projet'!$E$11+1,1))-AVERAGE(OFFSET($H$3,0,0,'Données projet'!$E$11+1,1))</f>
        <v>256.19915261735281</v>
      </c>
      <c r="BJ94" s="60">
        <f t="shared" si="92"/>
        <v>297.47246687305056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3.333333333333337</v>
      </c>
      <c r="BY94" s="13">
        <f>IF('Données projet'!$A$114&gt;35,BY93+BX94-CG93,IF(A94&lt;'Données projet'!$A$114,$BV$205^A94,IF(A94='Données projet'!$A$114,'Données projet'!$B$114,BY93+BX94-CG93)))</f>
        <v>220.64102564102561</v>
      </c>
      <c r="BZ94" s="14">
        <f>BY94*VLOOKUP('Données projet'!$B$12,Paramètres!$A$1:$I$89,3,0)*VLOOKUP('Données projet'!$B$12,Paramètres!$A$1:$I$89,5,0)</f>
        <v>209.96199999999999</v>
      </c>
      <c r="CA94" s="14">
        <f t="shared" si="93"/>
        <v>51.927281654776422</v>
      </c>
      <c r="CB94" s="22">
        <f t="shared" si="64"/>
        <v>456.12383221540227</v>
      </c>
      <c r="CC94" s="60">
        <f t="shared" si="65"/>
        <v>749.45716554873559</v>
      </c>
      <c r="CD94" s="60">
        <f ca="1">AVERAGE(OFFSET($CC$3,0,0,'Données projet'!$E$12+1,1))-AVERAGE(OFFSET($H$3,0,0,'Données projet'!$E$12+1,1))</f>
        <v>353.53401919391234</v>
      </c>
      <c r="CE94" s="60">
        <f t="shared" si="94"/>
        <v>244.7141066773861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5.2</v>
      </c>
      <c r="CT94" s="13">
        <f>IF('Données projet'!$A$140&gt;35,CT93+CS94-DB93,IF(A94&lt;'Données projet'!$A$140,$CQ$205^A94,IF(A94='Données projet'!$A$140,'Données projet'!$B$140,CT93+CS94-DB93)))</f>
        <v>279.19999999999987</v>
      </c>
      <c r="CU94" s="18">
        <f>CT94*VLOOKUP('Données projet'!$B$13,Paramètres!$A$1:$I$89,3,0)*VLOOKUP('Données projet'!$B$13,Paramètres!$A$1:$I$89,5,0)</f>
        <v>235.19807999999992</v>
      </c>
      <c r="CV94" s="14">
        <f t="shared" si="95"/>
        <v>57.40516187330315</v>
      </c>
      <c r="CW94" s="22">
        <f t="shared" si="67"/>
        <v>509.61731292933626</v>
      </c>
      <c r="CX94" s="60">
        <f t="shared" si="68"/>
        <v>802.95064626266958</v>
      </c>
      <c r="CY94" s="60">
        <f ca="1">AVERAGE(OFFSET($CX$3,0,0,'Données projet'!$E$13+1,1))-AVERAGE(OFFSET($H$3,0,0,'Données projet'!$E$13+1,1))</f>
        <v>403.33327536410098</v>
      </c>
      <c r="CZ94" s="60">
        <f t="shared" si="96"/>
        <v>218.26721063098552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3.4106051316484809E-13</v>
      </c>
      <c r="DP94" s="18">
        <f>DO94*VLOOKUP('Données projet'!$B$14,Paramètres!$A$1:$I$89,3,0)*VLOOKUP('Données projet'!$B$14,Paramètres!$A$1:$I$89,5,0)</f>
        <v>2.7134774427395314E-13</v>
      </c>
      <c r="DQ94" s="14">
        <f t="shared" si="97"/>
        <v>3.6292411711343559E-12</v>
      </c>
      <c r="DR94" s="22">
        <f t="shared" si="70"/>
        <v>6.7935256943361388E-12</v>
      </c>
      <c r="DS94" s="60">
        <f t="shared" si="71"/>
        <v>293.33333333334014</v>
      </c>
      <c r="DT94" s="60">
        <f ca="1">AVERAGE(OFFSET($DS$3,0,0,'Données projet'!$E$14+1,1))-AVERAGE(OFFSET($H$3,0,0,'Données projet'!$E$14+1,1))</f>
        <v>317.13087551964747</v>
      </c>
      <c r="DU94" s="60">
        <f t="shared" si="98"/>
        <v>293.43300041793185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1.7053025658242404E-13</v>
      </c>
      <c r="EK94" s="18">
        <f>EJ94*VLOOKUP('Données projet'!$B$15,Paramètres!$A$1:$I$89,3,0)*VLOOKUP('Données projet'!$B$15,Paramètres!$A$1:$I$89,5,0)</f>
        <v>1.3567387213697657E-13</v>
      </c>
      <c r="EL94" s="14">
        <f t="shared" si="99"/>
        <v>1.9670967679808581E-12</v>
      </c>
      <c r="EM94" s="22">
        <f t="shared" si="73"/>
        <v>3.6623255315385623E-12</v>
      </c>
      <c r="EN94" s="60">
        <f t="shared" si="74"/>
        <v>293.33333333333695</v>
      </c>
      <c r="EO94" s="60">
        <f ca="1">AVERAGE(OFFSET($EN$3,0,0,'Données projet'!$E$15+1,1))-AVERAGE(OFFSET($H$3,0,0,'Données projet'!$E$15+1,1))</f>
        <v>253.03289960511904</v>
      </c>
      <c r="EP94" s="60">
        <f t="shared" si="100"/>
        <v>236.85088713056018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1.7053025658242404E-13</v>
      </c>
      <c r="FF94" s="18">
        <f>FE94*VLOOKUP('Données projet'!$B$16,Paramètres!$A$1:$I$89,3,0)*VLOOKUP('Données projet'!$B$16,Paramètres!$A$1:$I$89,5,0)</f>
        <v>1.4897523215040567E-13</v>
      </c>
      <c r="FG94" s="14">
        <f t="shared" si="101"/>
        <v>2.136562777003313E-12</v>
      </c>
      <c r="FH94" s="22">
        <f t="shared" si="76"/>
        <v>3.9806453659427267E-12</v>
      </c>
      <c r="FI94" s="60">
        <f t="shared" si="77"/>
        <v>293.33333333333729</v>
      </c>
      <c r="FJ94" s="60">
        <f ca="1">AVERAGE(OFFSET($FI$3,0,0,'Données projet'!$E$16+1,1))-AVERAGE(OFFSET($H$3,0,0,'Données projet'!$E$16+1,1))</f>
        <v>274.38315511766132</v>
      </c>
      <c r="FK94" s="60">
        <f t="shared" si="102"/>
        <v>255.96663040027175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11.333333333333334</v>
      </c>
      <c r="FZ94" s="13">
        <f>IF('Données projet'!$A$244&gt;35,FZ93+FY94-GH93,IF(A94&lt;'Données projet'!$A$244,$FW$205^A94,IF(A94='Données projet'!$A$244,'Données projet'!$B$244,FZ93+FY94-GH93)))</f>
        <v>500.33333333333297</v>
      </c>
      <c r="GA94" s="18">
        <f>FZ94*VLOOKUP('Données projet'!$B$17,Paramètres!$A$1:$I$89,3,0)*VLOOKUP('Données projet'!$B$17,Paramètres!$A$1:$I$89,5,0)</f>
        <v>429.28599999999977</v>
      </c>
      <c r="GB94" s="14">
        <f t="shared" si="103"/>
        <v>97.689316592289586</v>
      </c>
      <c r="GC94" s="22">
        <f t="shared" si="79"/>
        <v>917.81534306490391</v>
      </c>
      <c r="GD94" s="60">
        <f t="shared" si="80"/>
        <v>1211.1486763982373</v>
      </c>
      <c r="GE94" s="60">
        <f ca="1">AVERAGE(OFFSET($GD$3,0,0,'Données projet'!$E$17+1,1))-AVERAGE(OFFSET($H$3,0,0,'Données projet'!$E$17+1,1))</f>
        <v>445.81166342116865</v>
      </c>
      <c r="GF94" s="60">
        <f t="shared" si="104"/>
        <v>230.82970731138215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5.6843418860808015E-14</v>
      </c>
      <c r="GV94" s="18">
        <f>GU94*VLOOKUP('Données projet'!$B$18,Paramètres!$A$1:$I$89,3,0)*VLOOKUP('Données projet'!$B$18,Paramètres!$A$1:$I$89,5,0)</f>
        <v>4.4337866711430253E-14</v>
      </c>
      <c r="GW94" s="14">
        <f t="shared" si="105"/>
        <v>7.3222115536967035E-13</v>
      </c>
      <c r="GX94" s="22">
        <f t="shared" si="82"/>
        <v>1.3525069634579169E-12</v>
      </c>
      <c r="GY94" s="60">
        <f t="shared" si="83"/>
        <v>293.33333333333468</v>
      </c>
      <c r="GZ94" s="60">
        <f ca="1">AVERAGE(OFFSET($GY$3,0,0,'Données projet'!$E$18+1,1))-AVERAGE(OFFSET($H$3,0,0,'Données projet'!$E$18+1,1))</f>
        <v>289.19475369871481</v>
      </c>
      <c r="HA94" s="60">
        <f t="shared" si="106"/>
        <v>283.48738729114024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projet'!$B$18,Paramètres!$A$1:$I$89,3,0)*0.475*44/12</f>
        <v>0</v>
      </c>
      <c r="HH94" s="23">
        <f>EXP(-LN(2)/25)*HH93+(1-EXP(-LN(2)/25))/(LN(2)/25)*Calculateur!HC94*Calculateur!HE94*VLOOKUP('Données projet'!$B$18,Paramètres!$A$1:$I$89,3,0)*0.475*44/12</f>
        <v>0</v>
      </c>
      <c r="HI94" s="23">
        <f>EXP(-LN(2)/2)*HI93+(1-EXP(-LN(2)/2))/(LN(2)/2)*HC94*HF94*VLOOKUP('Données projet'!$B$18,Paramètres!$A$1:$I$89,3,0)*0.475*44/12</f>
        <v>0</v>
      </c>
      <c r="HJ94" s="24">
        <f t="shared" si="84"/>
        <v>0</v>
      </c>
    </row>
    <row r="95" spans="1:218" s="5" customFormat="1" x14ac:dyDescent="0.3">
      <c r="A95" s="11">
        <f t="shared" si="85"/>
        <v>92</v>
      </c>
      <c r="B95" s="75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8">
        <f t="shared" si="56"/>
        <v>256.66666666666669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5.2</v>
      </c>
      <c r="N95" s="14">
        <f>IF('Données projet'!$A$36&gt;35,N94+M95-V94,IF(A95&lt;'Données projet'!$A$36,$K$205^A95,IF(A95='Données projet'!$A$36,'Données projet'!$B$36,N94+M95-V94)))</f>
        <v>284.39999999999986</v>
      </c>
      <c r="O95" s="14">
        <f>N95*VLOOKUP('Données projet'!$B$9,Paramètres!$A$1:$I$89,3,0)*VLOOKUP('Données projet'!$B$9,Paramètres!$A$1:$I$89,5,0)</f>
        <v>275.0716799999999</v>
      </c>
      <c r="P95" s="14">
        <f t="shared" si="87"/>
        <v>65.924439244609701</v>
      </c>
      <c r="Q95" s="22">
        <f t="shared" si="54"/>
        <v>593.90157435102833</v>
      </c>
      <c r="R95" s="60">
        <f t="shared" si="55"/>
        <v>887.23490768436159</v>
      </c>
      <c r="S95" s="60">
        <f ca="1">AVERAGE(OFFSET($R$3,0,0,'Données projet'!$E$9+1,1))-AVERAGE(OFFSET($H$3,0,0,'Données projet'!$E$9+1,1))</f>
        <v>456.86147223520601</v>
      </c>
      <c r="T95" s="60">
        <f t="shared" si="88"/>
        <v>244.45149244446094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2.5579538487363607E-13</v>
      </c>
      <c r="AJ95" s="14">
        <f>AI95*VLOOKUP('Données projet'!$B$10,Paramètres!$A$1:$I$89,3,0)*VLOOKUP('Données projet'!$B$10,Paramètres!$A$1:$I$89,5,0)</f>
        <v>1.6759713616920635E-13</v>
      </c>
      <c r="AK95" s="14">
        <f t="shared" si="89"/>
        <v>2.3709043131075133E-12</v>
      </c>
      <c r="AL95" s="22">
        <f t="shared" si="58"/>
        <v>4.4212233574902864E-12</v>
      </c>
      <c r="AM95" s="60">
        <f t="shared" si="59"/>
        <v>293.33333333333775</v>
      </c>
      <c r="AN95" s="60">
        <f ca="1">AVERAGE(OFFSET($AM$3,0,0,'Données projet'!$E$10+1,1))-AVERAGE(OFFSET($H$3,0,0,'Données projet'!$E$10+1,1))</f>
        <v>170.79567854714986</v>
      </c>
      <c r="AO95" s="60">
        <f t="shared" si="90"/>
        <v>155.92788004111191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-1.1368683772161603E-13</v>
      </c>
      <c r="BE95" s="14">
        <f>BD95*VLOOKUP('Données projet'!$B$11,Paramètres!$A$1:$I$89,3,0)*VLOOKUP('Données projet'!$B$11,Paramètres!$A$1:$I$89,5,0)</f>
        <v>-9.2222762759774927E-14</v>
      </c>
      <c r="BF95" s="14" t="e">
        <f t="shared" si="91"/>
        <v>#NUM!</v>
      </c>
      <c r="BG95" s="22" t="e">
        <f t="shared" si="61"/>
        <v>#NUM!</v>
      </c>
      <c r="BH95" s="60" t="e">
        <f t="shared" si="62"/>
        <v>#NUM!</v>
      </c>
      <c r="BI95" s="60">
        <f ca="1">AVERAGE(OFFSET($BH$3,0,0,'Données projet'!$E$11+1,1))-AVERAGE(OFFSET($H$3,0,0,'Données projet'!$E$11+1,1))</f>
        <v>256.19915261735281</v>
      </c>
      <c r="BJ95" s="60">
        <f t="shared" si="92"/>
        <v>297.47246687305056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3.333333333333337</v>
      </c>
      <c r="BY95" s="13">
        <f>IF('Données projet'!$A$114&gt;35,BY94+BX95-CG94,IF(A95&lt;'Données projet'!$A$114,$BV$205^A95,IF(A95='Données projet'!$A$114,'Données projet'!$B$114,BY94+BX95-CG94)))</f>
        <v>223.97435897435895</v>
      </c>
      <c r="BZ95" s="14">
        <f>BY95*VLOOKUP('Données projet'!$B$12,Paramètres!$A$1:$I$89,3,0)*VLOOKUP('Données projet'!$B$12,Paramètres!$A$1:$I$89,5,0)</f>
        <v>213.13399999999999</v>
      </c>
      <c r="CA95" s="14">
        <f t="shared" si="93"/>
        <v>52.619851982252747</v>
      </c>
      <c r="CB95" s="22">
        <f t="shared" si="64"/>
        <v>462.85462553575684</v>
      </c>
      <c r="CC95" s="60">
        <f t="shared" si="65"/>
        <v>756.18795886909015</v>
      </c>
      <c r="CD95" s="60">
        <f ca="1">AVERAGE(OFFSET($CC$3,0,0,'Données projet'!$E$12+1,1))-AVERAGE(OFFSET($H$3,0,0,'Données projet'!$E$12+1,1))</f>
        <v>353.53401919391234</v>
      </c>
      <c r="CE95" s="60">
        <f t="shared" si="94"/>
        <v>244.7141066773861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5.2</v>
      </c>
      <c r="CT95" s="13">
        <f>IF('Données projet'!$A$140&gt;35,CT94+CS95-DB94,IF(A95&lt;'Données projet'!$A$140,$CQ$205^A95,IF(A95='Données projet'!$A$140,'Données projet'!$B$140,CT94+CS95-DB94)))</f>
        <v>284.39999999999986</v>
      </c>
      <c r="CU95" s="18">
        <f>CT95*VLOOKUP('Données projet'!$B$13,Paramètres!$A$1:$I$89,3,0)*VLOOKUP('Données projet'!$B$13,Paramètres!$A$1:$I$89,5,0)</f>
        <v>239.5785599999999</v>
      </c>
      <c r="CV95" s="14">
        <f t="shared" si="95"/>
        <v>58.348846340254774</v>
      </c>
      <c r="CW95" s="22">
        <f t="shared" si="67"/>
        <v>518.89023270927692</v>
      </c>
      <c r="CX95" s="60">
        <f t="shared" si="68"/>
        <v>812.22356604261017</v>
      </c>
      <c r="CY95" s="60">
        <f ca="1">AVERAGE(OFFSET($CX$3,0,0,'Données projet'!$E$13+1,1))-AVERAGE(OFFSET($H$3,0,0,'Données projet'!$E$13+1,1))</f>
        <v>403.33327536410098</v>
      </c>
      <c r="CZ95" s="60">
        <f t="shared" si="96"/>
        <v>218.26721063098552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3.4106051316484809E-13</v>
      </c>
      <c r="DP95" s="18">
        <f>DO95*VLOOKUP('Données projet'!$B$14,Paramètres!$A$1:$I$89,3,0)*VLOOKUP('Données projet'!$B$14,Paramètres!$A$1:$I$89,5,0)</f>
        <v>2.7134774427395314E-13</v>
      </c>
      <c r="DQ95" s="14">
        <f t="shared" si="97"/>
        <v>3.6292411711343559E-12</v>
      </c>
      <c r="DR95" s="22">
        <f t="shared" si="70"/>
        <v>6.7935256943361388E-12</v>
      </c>
      <c r="DS95" s="60">
        <f t="shared" si="71"/>
        <v>293.33333333334014</v>
      </c>
      <c r="DT95" s="60">
        <f ca="1">AVERAGE(OFFSET($DS$3,0,0,'Données projet'!$E$14+1,1))-AVERAGE(OFFSET($H$3,0,0,'Données projet'!$E$14+1,1))</f>
        <v>317.13087551964747</v>
      </c>
      <c r="DU95" s="60">
        <f t="shared" si="98"/>
        <v>293.43300041793185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1.7053025658242404E-13</v>
      </c>
      <c r="EK95" s="18">
        <f>EJ95*VLOOKUP('Données projet'!$B$15,Paramètres!$A$1:$I$89,3,0)*VLOOKUP('Données projet'!$B$15,Paramètres!$A$1:$I$89,5,0)</f>
        <v>1.3567387213697657E-13</v>
      </c>
      <c r="EL95" s="14">
        <f t="shared" si="99"/>
        <v>1.9670967679808581E-12</v>
      </c>
      <c r="EM95" s="22">
        <f t="shared" si="73"/>
        <v>3.6623255315385623E-12</v>
      </c>
      <c r="EN95" s="60">
        <f t="shared" si="74"/>
        <v>293.33333333333695</v>
      </c>
      <c r="EO95" s="60">
        <f ca="1">AVERAGE(OFFSET($EN$3,0,0,'Données projet'!$E$15+1,1))-AVERAGE(OFFSET($H$3,0,0,'Données projet'!$E$15+1,1))</f>
        <v>253.03289960511904</v>
      </c>
      <c r="EP95" s="60">
        <f t="shared" si="100"/>
        <v>236.85088713056018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1.7053025658242404E-13</v>
      </c>
      <c r="FF95" s="18">
        <f>FE95*VLOOKUP('Données projet'!$B$16,Paramètres!$A$1:$I$89,3,0)*VLOOKUP('Données projet'!$B$16,Paramètres!$A$1:$I$89,5,0)</f>
        <v>1.4897523215040567E-13</v>
      </c>
      <c r="FG95" s="14">
        <f t="shared" si="101"/>
        <v>2.136562777003313E-12</v>
      </c>
      <c r="FH95" s="22">
        <f t="shared" si="76"/>
        <v>3.9806453659427267E-12</v>
      </c>
      <c r="FI95" s="60">
        <f t="shared" si="77"/>
        <v>293.33333333333729</v>
      </c>
      <c r="FJ95" s="60">
        <f ca="1">AVERAGE(OFFSET($FI$3,0,0,'Données projet'!$E$16+1,1))-AVERAGE(OFFSET($H$3,0,0,'Données projet'!$E$16+1,1))</f>
        <v>274.38315511766132</v>
      </c>
      <c r="FK95" s="60">
        <f t="shared" si="102"/>
        <v>255.96663040027175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11.333333333333334</v>
      </c>
      <c r="FZ95" s="13">
        <f>IF('Données projet'!$A$244&gt;35,FZ94+FY95-GH94,IF(A95&lt;'Données projet'!$A$244,$FW$205^A95,IF(A95='Données projet'!$A$244,'Données projet'!$B$244,FZ94+FY95-GH94)))</f>
        <v>511.66666666666629</v>
      </c>
      <c r="GA95" s="18">
        <f>FZ95*VLOOKUP('Données projet'!$B$17,Paramètres!$A$1:$I$89,3,0)*VLOOKUP('Données projet'!$B$17,Paramètres!$A$1:$I$89,5,0)</f>
        <v>439.00999999999971</v>
      </c>
      <c r="GB95" s="14">
        <f t="shared" si="103"/>
        <v>99.642004610829247</v>
      </c>
      <c r="GC95" s="22">
        <f t="shared" si="79"/>
        <v>938.15224136386041</v>
      </c>
      <c r="GD95" s="60">
        <f t="shared" si="80"/>
        <v>1231.4855746971937</v>
      </c>
      <c r="GE95" s="60">
        <f ca="1">AVERAGE(OFFSET($GD$3,0,0,'Données projet'!$E$17+1,1))-AVERAGE(OFFSET($H$3,0,0,'Données projet'!$E$17+1,1))</f>
        <v>445.81166342116865</v>
      </c>
      <c r="GF95" s="60">
        <f t="shared" si="104"/>
        <v>230.82970731138215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5.6843418860808015E-14</v>
      </c>
      <c r="GV95" s="18">
        <f>GU95*VLOOKUP('Données projet'!$B$18,Paramètres!$A$1:$I$89,3,0)*VLOOKUP('Données projet'!$B$18,Paramètres!$A$1:$I$89,5,0)</f>
        <v>4.4337866711430253E-14</v>
      </c>
      <c r="GW95" s="14">
        <f t="shared" si="105"/>
        <v>7.3222115536967035E-13</v>
      </c>
      <c r="GX95" s="22">
        <f t="shared" si="82"/>
        <v>1.3525069634579169E-12</v>
      </c>
      <c r="GY95" s="60">
        <f t="shared" si="83"/>
        <v>293.33333333333468</v>
      </c>
      <c r="GZ95" s="60">
        <f ca="1">AVERAGE(OFFSET($GY$3,0,0,'Données projet'!$E$18+1,1))-AVERAGE(OFFSET($H$3,0,0,'Données projet'!$E$18+1,1))</f>
        <v>289.19475369871481</v>
      </c>
      <c r="HA95" s="60">
        <f t="shared" si="106"/>
        <v>283.48738729114024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projet'!$B$18,Paramètres!$A$1:$I$89,3,0)*0.475*44/12</f>
        <v>0</v>
      </c>
      <c r="HH95" s="23">
        <f>EXP(-LN(2)/25)*HH94+(1-EXP(-LN(2)/25))/(LN(2)/25)*Calculateur!HC95*Calculateur!HE95*VLOOKUP('Données projet'!$B$18,Paramètres!$A$1:$I$89,3,0)*0.475*44/12</f>
        <v>0</v>
      </c>
      <c r="HI95" s="23">
        <f>EXP(-LN(2)/2)*HI94+(1-EXP(-LN(2)/2))/(LN(2)/2)*HC95*HF95*VLOOKUP('Données projet'!$B$18,Paramètres!$A$1:$I$89,3,0)*0.475*44/12</f>
        <v>0</v>
      </c>
      <c r="HJ95" s="24">
        <f t="shared" si="84"/>
        <v>0</v>
      </c>
    </row>
    <row r="96" spans="1:218" s="5" customFormat="1" x14ac:dyDescent="0.3">
      <c r="A96" s="11">
        <f t="shared" si="85"/>
        <v>93</v>
      </c>
      <c r="B96" s="75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8">
        <f t="shared" si="56"/>
        <v>256.66666666666669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5.2</v>
      </c>
      <c r="N96" s="14">
        <f>IF('Données projet'!$A$36&gt;35,N95+M96-V95,IF(A96&lt;'Données projet'!$A$36,$K$205^A96,IF(A96='Données projet'!$A$36,'Données projet'!$B$36,N95+M96-V95)))</f>
        <v>289.59999999999985</v>
      </c>
      <c r="O96" s="14">
        <f>N96*VLOOKUP('Données projet'!$B$9,Paramètres!$A$1:$I$89,3,0)*VLOOKUP('Données projet'!$B$9,Paramètres!$A$1:$I$89,5,0)</f>
        <v>280.10111999999987</v>
      </c>
      <c r="P96" s="14">
        <f t="shared" si="87"/>
        <v>66.988377994867818</v>
      </c>
      <c r="Q96" s="22">
        <f t="shared" si="54"/>
        <v>604.5142090077278</v>
      </c>
      <c r="R96" s="60">
        <f t="shared" si="55"/>
        <v>897.84754234106117</v>
      </c>
      <c r="S96" s="60">
        <f ca="1">AVERAGE(OFFSET($R$3,0,0,'Données projet'!$E$9+1,1))-AVERAGE(OFFSET($H$3,0,0,'Données projet'!$E$9+1,1))</f>
        <v>456.86147223520601</v>
      </c>
      <c r="T96" s="60">
        <f t="shared" si="88"/>
        <v>244.45149244446094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2.5579538487363607E-13</v>
      </c>
      <c r="AJ96" s="14">
        <f>AI96*VLOOKUP('Données projet'!$B$10,Paramètres!$A$1:$I$89,3,0)*VLOOKUP('Données projet'!$B$10,Paramètres!$A$1:$I$89,5,0)</f>
        <v>1.6759713616920635E-13</v>
      </c>
      <c r="AK96" s="14">
        <f t="shared" si="89"/>
        <v>2.3709043131075133E-12</v>
      </c>
      <c r="AL96" s="22">
        <f t="shared" si="58"/>
        <v>4.4212233574902864E-12</v>
      </c>
      <c r="AM96" s="60">
        <f t="shared" si="59"/>
        <v>293.33333333333775</v>
      </c>
      <c r="AN96" s="60">
        <f ca="1">AVERAGE(OFFSET($AM$3,0,0,'Données projet'!$E$10+1,1))-AVERAGE(OFFSET($H$3,0,0,'Données projet'!$E$10+1,1))</f>
        <v>170.79567854714986</v>
      </c>
      <c r="AO96" s="60">
        <f t="shared" si="90"/>
        <v>155.92788004111191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-1.1368683772161603E-13</v>
      </c>
      <c r="BE96" s="14">
        <f>BD96*VLOOKUP('Données projet'!$B$11,Paramètres!$A$1:$I$89,3,0)*VLOOKUP('Données projet'!$B$11,Paramètres!$A$1:$I$89,5,0)</f>
        <v>-9.2222762759774927E-14</v>
      </c>
      <c r="BF96" s="14" t="e">
        <f t="shared" si="91"/>
        <v>#NUM!</v>
      </c>
      <c r="BG96" s="22" t="e">
        <f t="shared" si="61"/>
        <v>#NUM!</v>
      </c>
      <c r="BH96" s="60" t="e">
        <f t="shared" si="62"/>
        <v>#NUM!</v>
      </c>
      <c r="BI96" s="60">
        <f ca="1">AVERAGE(OFFSET($BH$3,0,0,'Données projet'!$E$11+1,1))-AVERAGE(OFFSET($H$3,0,0,'Données projet'!$E$11+1,1))</f>
        <v>256.19915261735281</v>
      </c>
      <c r="BJ96" s="60">
        <f t="shared" si="92"/>
        <v>297.47246687305056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3.333333333333337</v>
      </c>
      <c r="BY96" s="13">
        <f>IF('Données projet'!$A$114&gt;35,BY95+BX96-CG95,IF(A96&lt;'Données projet'!$A$114,$BV$205^A96,IF(A96='Données projet'!$A$114,'Données projet'!$B$114,BY95+BX96-CG95)))</f>
        <v>227.30769230769229</v>
      </c>
      <c r="BZ96" s="14">
        <f>BY96*VLOOKUP('Données projet'!$B$12,Paramètres!$A$1:$I$89,3,0)*VLOOKUP('Données projet'!$B$12,Paramètres!$A$1:$I$89,5,0)</f>
        <v>216.30599999999998</v>
      </c>
      <c r="CA96" s="14">
        <f t="shared" si="93"/>
        <v>53.311223533460037</v>
      </c>
      <c r="CB96" s="22">
        <f t="shared" si="64"/>
        <v>469.58333098744288</v>
      </c>
      <c r="CC96" s="60">
        <f t="shared" si="65"/>
        <v>762.91666432077614</v>
      </c>
      <c r="CD96" s="60">
        <f ca="1">AVERAGE(OFFSET($CC$3,0,0,'Données projet'!$E$12+1,1))-AVERAGE(OFFSET($H$3,0,0,'Données projet'!$E$12+1,1))</f>
        <v>353.53401919391234</v>
      </c>
      <c r="CE96" s="60">
        <f t="shared" si="94"/>
        <v>244.7141066773861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5.2</v>
      </c>
      <c r="CT96" s="13">
        <f>IF('Données projet'!$A$140&gt;35,CT95+CS96-DB95,IF(A96&lt;'Données projet'!$A$140,$CQ$205^A96,IF(A96='Données projet'!$A$140,'Données projet'!$B$140,CT95+CS96-DB95)))</f>
        <v>289.59999999999985</v>
      </c>
      <c r="CU96" s="18">
        <f>CT96*VLOOKUP('Données projet'!$B$13,Paramètres!$A$1:$I$89,3,0)*VLOOKUP('Données projet'!$B$13,Paramètres!$A$1:$I$89,5,0)</f>
        <v>243.9590399999999</v>
      </c>
      <c r="CV96" s="14">
        <f t="shared" si="95"/>
        <v>59.290524409353097</v>
      </c>
      <c r="CW96" s="22">
        <f t="shared" si="67"/>
        <v>528.15965801295647</v>
      </c>
      <c r="CX96" s="60">
        <f t="shared" si="68"/>
        <v>821.49299134628973</v>
      </c>
      <c r="CY96" s="60">
        <f ca="1">AVERAGE(OFFSET($CX$3,0,0,'Données projet'!$E$13+1,1))-AVERAGE(OFFSET($H$3,0,0,'Données projet'!$E$13+1,1))</f>
        <v>403.33327536410098</v>
      </c>
      <c r="CZ96" s="60">
        <f t="shared" si="96"/>
        <v>218.26721063098552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3.4106051316484809E-13</v>
      </c>
      <c r="DP96" s="18">
        <f>DO96*VLOOKUP('Données projet'!$B$14,Paramètres!$A$1:$I$89,3,0)*VLOOKUP('Données projet'!$B$14,Paramètres!$A$1:$I$89,5,0)</f>
        <v>2.7134774427395314E-13</v>
      </c>
      <c r="DQ96" s="14">
        <f t="shared" si="97"/>
        <v>3.6292411711343559E-12</v>
      </c>
      <c r="DR96" s="22">
        <f t="shared" si="70"/>
        <v>6.7935256943361388E-12</v>
      </c>
      <c r="DS96" s="60">
        <f t="shared" si="71"/>
        <v>293.33333333334014</v>
      </c>
      <c r="DT96" s="60">
        <f ca="1">AVERAGE(OFFSET($DS$3,0,0,'Données projet'!$E$14+1,1))-AVERAGE(OFFSET($H$3,0,0,'Données projet'!$E$14+1,1))</f>
        <v>317.13087551964747</v>
      </c>
      <c r="DU96" s="60">
        <f t="shared" si="98"/>
        <v>293.43300041793185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1.7053025658242404E-13</v>
      </c>
      <c r="EK96" s="18">
        <f>EJ96*VLOOKUP('Données projet'!$B$15,Paramètres!$A$1:$I$89,3,0)*VLOOKUP('Données projet'!$B$15,Paramètres!$A$1:$I$89,5,0)</f>
        <v>1.3567387213697657E-13</v>
      </c>
      <c r="EL96" s="14">
        <f t="shared" si="99"/>
        <v>1.9670967679808581E-12</v>
      </c>
      <c r="EM96" s="22">
        <f t="shared" si="73"/>
        <v>3.6623255315385623E-12</v>
      </c>
      <c r="EN96" s="60">
        <f t="shared" si="74"/>
        <v>293.33333333333695</v>
      </c>
      <c r="EO96" s="60">
        <f ca="1">AVERAGE(OFFSET($EN$3,0,0,'Données projet'!$E$15+1,1))-AVERAGE(OFFSET($H$3,0,0,'Données projet'!$E$15+1,1))</f>
        <v>253.03289960511904</v>
      </c>
      <c r="EP96" s="60">
        <f t="shared" si="100"/>
        <v>236.85088713056018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1.7053025658242404E-13</v>
      </c>
      <c r="FF96" s="18">
        <f>FE96*VLOOKUP('Données projet'!$B$16,Paramètres!$A$1:$I$89,3,0)*VLOOKUP('Données projet'!$B$16,Paramètres!$A$1:$I$89,5,0)</f>
        <v>1.4897523215040567E-13</v>
      </c>
      <c r="FG96" s="14">
        <f t="shared" si="101"/>
        <v>2.136562777003313E-12</v>
      </c>
      <c r="FH96" s="22">
        <f t="shared" si="76"/>
        <v>3.9806453659427267E-12</v>
      </c>
      <c r="FI96" s="60">
        <f t="shared" si="77"/>
        <v>293.33333333333729</v>
      </c>
      <c r="FJ96" s="60">
        <f ca="1">AVERAGE(OFFSET($FI$3,0,0,'Données projet'!$E$16+1,1))-AVERAGE(OFFSET($H$3,0,0,'Données projet'!$E$16+1,1))</f>
        <v>274.38315511766132</v>
      </c>
      <c r="FK96" s="60">
        <f t="shared" si="102"/>
        <v>255.96663040027175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11.333333333333334</v>
      </c>
      <c r="FZ96" s="13">
        <f>IF('Données projet'!$A$244&gt;35,FZ95+FY96-GH95,IF(A96&lt;'Données projet'!$A$244,$FW$205^A96,IF(A96='Données projet'!$A$244,'Données projet'!$B$244,FZ95+FY96-GH95)))</f>
        <v>522.99999999999966</v>
      </c>
      <c r="GA96" s="18">
        <f>FZ96*VLOOKUP('Données projet'!$B$17,Paramètres!$A$1:$I$89,3,0)*VLOOKUP('Données projet'!$B$17,Paramètres!$A$1:$I$89,5,0)</f>
        <v>448.73399999999981</v>
      </c>
      <c r="GB96" s="14">
        <f t="shared" si="103"/>
        <v>101.58966417888674</v>
      </c>
      <c r="GC96" s="22">
        <f t="shared" si="79"/>
        <v>958.48038177822752</v>
      </c>
      <c r="GD96" s="60">
        <f t="shared" si="80"/>
        <v>1251.8137151115609</v>
      </c>
      <c r="GE96" s="60">
        <f ca="1">AVERAGE(OFFSET($GD$3,0,0,'Données projet'!$E$17+1,1))-AVERAGE(OFFSET($H$3,0,0,'Données projet'!$E$17+1,1))</f>
        <v>445.81166342116865</v>
      </c>
      <c r="GF96" s="60">
        <f t="shared" si="104"/>
        <v>230.82970731138215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5.6843418860808015E-14</v>
      </c>
      <c r="GV96" s="18">
        <f>GU96*VLOOKUP('Données projet'!$B$18,Paramètres!$A$1:$I$89,3,0)*VLOOKUP('Données projet'!$B$18,Paramètres!$A$1:$I$89,5,0)</f>
        <v>4.4337866711430253E-14</v>
      </c>
      <c r="GW96" s="14">
        <f t="shared" si="105"/>
        <v>7.3222115536967035E-13</v>
      </c>
      <c r="GX96" s="22">
        <f t="shared" si="82"/>
        <v>1.3525069634579169E-12</v>
      </c>
      <c r="GY96" s="60">
        <f t="shared" si="83"/>
        <v>293.33333333333468</v>
      </c>
      <c r="GZ96" s="60">
        <f ca="1">AVERAGE(OFFSET($GY$3,0,0,'Données projet'!$E$18+1,1))-AVERAGE(OFFSET($H$3,0,0,'Données projet'!$E$18+1,1))</f>
        <v>289.19475369871481</v>
      </c>
      <c r="HA96" s="60">
        <f t="shared" si="106"/>
        <v>283.48738729114024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projet'!$B$18,Paramètres!$A$1:$I$89,3,0)*0.475*44/12</f>
        <v>0</v>
      </c>
      <c r="HH96" s="23">
        <f>EXP(-LN(2)/25)*HH95+(1-EXP(-LN(2)/25))/(LN(2)/25)*Calculateur!HC96*Calculateur!HE96*VLOOKUP('Données projet'!$B$18,Paramètres!$A$1:$I$89,3,0)*0.475*44/12</f>
        <v>0</v>
      </c>
      <c r="HI96" s="23">
        <f>EXP(-LN(2)/2)*HI95+(1-EXP(-LN(2)/2))/(LN(2)/2)*HC96*HF96*VLOOKUP('Données projet'!$B$18,Paramètres!$A$1:$I$89,3,0)*0.475*44/12</f>
        <v>0</v>
      </c>
      <c r="HJ96" s="24">
        <f t="shared" si="84"/>
        <v>0</v>
      </c>
    </row>
    <row r="97" spans="1:218" s="5" customFormat="1" x14ac:dyDescent="0.3">
      <c r="A97" s="11">
        <f t="shared" si="85"/>
        <v>94</v>
      </c>
      <c r="B97" s="75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8">
        <f t="shared" si="56"/>
        <v>256.66666666666669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5.2</v>
      </c>
      <c r="N97" s="14">
        <f>IF('Données projet'!$A$36&gt;35,N96+M97-V96,IF(A97&lt;'Données projet'!$A$36,$K$205^A97,IF(A97='Données projet'!$A$36,'Données projet'!$B$36,N96+M97-V96)))</f>
        <v>294.79999999999984</v>
      </c>
      <c r="O97" s="14">
        <f>N97*VLOOKUP('Données projet'!$B$9,Paramètres!$A$1:$I$89,3,0)*VLOOKUP('Données projet'!$B$9,Paramètres!$A$1:$I$89,5,0)</f>
        <v>285.13055999999983</v>
      </c>
      <c r="P97" s="14">
        <f t="shared" si="87"/>
        <v>68.050095250359178</v>
      </c>
      <c r="Q97" s="22">
        <f t="shared" si="54"/>
        <v>615.12297456104193</v>
      </c>
      <c r="R97" s="60">
        <f t="shared" si="55"/>
        <v>908.45630789437519</v>
      </c>
      <c r="S97" s="60">
        <f ca="1">AVERAGE(OFFSET($R$3,0,0,'Données projet'!$E$9+1,1))-AVERAGE(OFFSET($H$3,0,0,'Données projet'!$E$9+1,1))</f>
        <v>456.86147223520601</v>
      </c>
      <c r="T97" s="60">
        <f t="shared" si="88"/>
        <v>244.45149244446094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2.5579538487363607E-13</v>
      </c>
      <c r="AJ97" s="14">
        <f>AI97*VLOOKUP('Données projet'!$B$10,Paramètres!$A$1:$I$89,3,0)*VLOOKUP('Données projet'!$B$10,Paramètres!$A$1:$I$89,5,0)</f>
        <v>1.6759713616920635E-13</v>
      </c>
      <c r="AK97" s="14">
        <f t="shared" si="89"/>
        <v>2.3709043131075133E-12</v>
      </c>
      <c r="AL97" s="22">
        <f t="shared" si="58"/>
        <v>4.4212233574902864E-12</v>
      </c>
      <c r="AM97" s="60">
        <f t="shared" si="59"/>
        <v>293.33333333333775</v>
      </c>
      <c r="AN97" s="60">
        <f ca="1">AVERAGE(OFFSET($AM$3,0,0,'Données projet'!$E$10+1,1))-AVERAGE(OFFSET($H$3,0,0,'Données projet'!$E$10+1,1))</f>
        <v>170.79567854714986</v>
      </c>
      <c r="AO97" s="60">
        <f t="shared" si="90"/>
        <v>155.92788004111191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-1.1368683772161603E-13</v>
      </c>
      <c r="BE97" s="14">
        <f>BD97*VLOOKUP('Données projet'!$B$11,Paramètres!$A$1:$I$89,3,0)*VLOOKUP('Données projet'!$B$11,Paramètres!$A$1:$I$89,5,0)</f>
        <v>-9.2222762759774927E-14</v>
      </c>
      <c r="BF97" s="14" t="e">
        <f t="shared" si="91"/>
        <v>#NUM!</v>
      </c>
      <c r="BG97" s="22" t="e">
        <f t="shared" si="61"/>
        <v>#NUM!</v>
      </c>
      <c r="BH97" s="60" t="e">
        <f t="shared" si="62"/>
        <v>#NUM!</v>
      </c>
      <c r="BI97" s="60">
        <f ca="1">AVERAGE(OFFSET($BH$3,0,0,'Données projet'!$E$11+1,1))-AVERAGE(OFFSET($H$3,0,0,'Données projet'!$E$11+1,1))</f>
        <v>256.19915261735281</v>
      </c>
      <c r="BJ97" s="60">
        <f t="shared" si="92"/>
        <v>297.47246687305056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3.333333333333337</v>
      </c>
      <c r="BY97" s="13">
        <f>IF('Données projet'!$A$114&gt;35,BY96+BX97-CG96,IF(A97&lt;'Données projet'!$A$114,$BV$205^A97,IF(A97='Données projet'!$A$114,'Données projet'!$B$114,BY96+BX97-CG96)))</f>
        <v>230.64102564102564</v>
      </c>
      <c r="BZ97" s="14">
        <f>BY97*VLOOKUP('Données projet'!$B$12,Paramètres!$A$1:$I$89,3,0)*VLOOKUP('Données projet'!$B$12,Paramètres!$A$1:$I$89,5,0)</f>
        <v>219.47800000000001</v>
      </c>
      <c r="CA97" s="14">
        <f t="shared" si="93"/>
        <v>54.001415918656583</v>
      </c>
      <c r="CB97" s="22">
        <f t="shared" si="64"/>
        <v>476.30998272499346</v>
      </c>
      <c r="CC97" s="60">
        <f t="shared" si="65"/>
        <v>769.64331605832672</v>
      </c>
      <c r="CD97" s="60">
        <f ca="1">AVERAGE(OFFSET($CC$3,0,0,'Données projet'!$E$12+1,1))-AVERAGE(OFFSET($H$3,0,0,'Données projet'!$E$12+1,1))</f>
        <v>353.53401919391234</v>
      </c>
      <c r="CE97" s="60">
        <f t="shared" si="94"/>
        <v>244.7141066773861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5.2</v>
      </c>
      <c r="CT97" s="13">
        <f>IF('Données projet'!$A$140&gt;35,CT96+CS97-DB96,IF(A97&lt;'Données projet'!$A$140,$CQ$205^A97,IF(A97='Données projet'!$A$140,'Données projet'!$B$140,CT96+CS97-DB96)))</f>
        <v>294.79999999999984</v>
      </c>
      <c r="CU97" s="18">
        <f>CT97*VLOOKUP('Données projet'!$B$13,Paramètres!$A$1:$I$89,3,0)*VLOOKUP('Données projet'!$B$13,Paramètres!$A$1:$I$89,5,0)</f>
        <v>248.33951999999988</v>
      </c>
      <c r="CV97" s="14">
        <f t="shared" si="95"/>
        <v>60.230236262913245</v>
      </c>
      <c r="CW97" s="22">
        <f t="shared" si="67"/>
        <v>537.42565882457359</v>
      </c>
      <c r="CX97" s="60">
        <f t="shared" si="68"/>
        <v>830.75899215790696</v>
      </c>
      <c r="CY97" s="60">
        <f ca="1">AVERAGE(OFFSET($CX$3,0,0,'Données projet'!$E$13+1,1))-AVERAGE(OFFSET($H$3,0,0,'Données projet'!$E$13+1,1))</f>
        <v>403.33327536410098</v>
      </c>
      <c r="CZ97" s="60">
        <f t="shared" si="96"/>
        <v>218.26721063098552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3.4106051316484809E-13</v>
      </c>
      <c r="DP97" s="18">
        <f>DO97*VLOOKUP('Données projet'!$B$14,Paramètres!$A$1:$I$89,3,0)*VLOOKUP('Données projet'!$B$14,Paramètres!$A$1:$I$89,5,0)</f>
        <v>2.7134774427395314E-13</v>
      </c>
      <c r="DQ97" s="14">
        <f t="shared" si="97"/>
        <v>3.6292411711343559E-12</v>
      </c>
      <c r="DR97" s="22">
        <f t="shared" si="70"/>
        <v>6.7935256943361388E-12</v>
      </c>
      <c r="DS97" s="60">
        <f t="shared" si="71"/>
        <v>293.33333333334014</v>
      </c>
      <c r="DT97" s="60">
        <f ca="1">AVERAGE(OFFSET($DS$3,0,0,'Données projet'!$E$14+1,1))-AVERAGE(OFFSET($H$3,0,0,'Données projet'!$E$14+1,1))</f>
        <v>317.13087551964747</v>
      </c>
      <c r="DU97" s="60">
        <f t="shared" si="98"/>
        <v>293.43300041793185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1.7053025658242404E-13</v>
      </c>
      <c r="EK97" s="18">
        <f>EJ97*VLOOKUP('Données projet'!$B$15,Paramètres!$A$1:$I$89,3,0)*VLOOKUP('Données projet'!$B$15,Paramètres!$A$1:$I$89,5,0)</f>
        <v>1.3567387213697657E-13</v>
      </c>
      <c r="EL97" s="14">
        <f t="shared" si="99"/>
        <v>1.9670967679808581E-12</v>
      </c>
      <c r="EM97" s="22">
        <f t="shared" si="73"/>
        <v>3.6623255315385623E-12</v>
      </c>
      <c r="EN97" s="60">
        <f t="shared" si="74"/>
        <v>293.33333333333695</v>
      </c>
      <c r="EO97" s="60">
        <f ca="1">AVERAGE(OFFSET($EN$3,0,0,'Données projet'!$E$15+1,1))-AVERAGE(OFFSET($H$3,0,0,'Données projet'!$E$15+1,1))</f>
        <v>253.03289960511904</v>
      </c>
      <c r="EP97" s="60">
        <f t="shared" si="100"/>
        <v>236.85088713056018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1.7053025658242404E-13</v>
      </c>
      <c r="FF97" s="18">
        <f>FE97*VLOOKUP('Données projet'!$B$16,Paramètres!$A$1:$I$89,3,0)*VLOOKUP('Données projet'!$B$16,Paramètres!$A$1:$I$89,5,0)</f>
        <v>1.4897523215040567E-13</v>
      </c>
      <c r="FG97" s="14">
        <f t="shared" si="101"/>
        <v>2.136562777003313E-12</v>
      </c>
      <c r="FH97" s="22">
        <f t="shared" si="76"/>
        <v>3.9806453659427267E-12</v>
      </c>
      <c r="FI97" s="60">
        <f t="shared" si="77"/>
        <v>293.33333333333729</v>
      </c>
      <c r="FJ97" s="60">
        <f ca="1">AVERAGE(OFFSET($FI$3,0,0,'Données projet'!$E$16+1,1))-AVERAGE(OFFSET($H$3,0,0,'Données projet'!$E$16+1,1))</f>
        <v>274.38315511766132</v>
      </c>
      <c r="FK97" s="60">
        <f t="shared" si="102"/>
        <v>255.96663040027175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11.333333333333334</v>
      </c>
      <c r="FZ97" s="13">
        <f>IF('Données projet'!$A$244&gt;35,FZ96+FY97-GH96,IF(A97&lt;'Données projet'!$A$244,$FW$205^A97,IF(A97='Données projet'!$A$244,'Données projet'!$B$244,FZ96+FY97-GH96)))</f>
        <v>534.33333333333303</v>
      </c>
      <c r="GA97" s="18">
        <f>FZ97*VLOOKUP('Données projet'!$B$17,Paramètres!$A$1:$I$89,3,0)*VLOOKUP('Données projet'!$B$17,Paramètres!$A$1:$I$89,5,0)</f>
        <v>458.4579999999998</v>
      </c>
      <c r="GB97" s="14">
        <f t="shared" si="103"/>
        <v>103.53241681177968</v>
      </c>
      <c r="GC97" s="22">
        <f t="shared" si="79"/>
        <v>978.79997594718259</v>
      </c>
      <c r="GD97" s="60">
        <f t="shared" si="80"/>
        <v>1272.133309280516</v>
      </c>
      <c r="GE97" s="60">
        <f ca="1">AVERAGE(OFFSET($GD$3,0,0,'Données projet'!$E$17+1,1))-AVERAGE(OFFSET($H$3,0,0,'Données projet'!$E$17+1,1))</f>
        <v>445.81166342116865</v>
      </c>
      <c r="GF97" s="60">
        <f t="shared" si="104"/>
        <v>230.82970731138215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5.6843418860808015E-14</v>
      </c>
      <c r="GV97" s="18">
        <f>GU97*VLOOKUP('Données projet'!$B$18,Paramètres!$A$1:$I$89,3,0)*VLOOKUP('Données projet'!$B$18,Paramètres!$A$1:$I$89,5,0)</f>
        <v>4.4337866711430253E-14</v>
      </c>
      <c r="GW97" s="14">
        <f t="shared" si="105"/>
        <v>7.3222115536967035E-13</v>
      </c>
      <c r="GX97" s="22">
        <f t="shared" si="82"/>
        <v>1.3525069634579169E-12</v>
      </c>
      <c r="GY97" s="60">
        <f t="shared" si="83"/>
        <v>293.33333333333468</v>
      </c>
      <c r="GZ97" s="60">
        <f ca="1">AVERAGE(OFFSET($GY$3,0,0,'Données projet'!$E$18+1,1))-AVERAGE(OFFSET($H$3,0,0,'Données projet'!$E$18+1,1))</f>
        <v>289.19475369871481</v>
      </c>
      <c r="HA97" s="60">
        <f t="shared" si="106"/>
        <v>283.48738729114024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projet'!$B$18,Paramètres!$A$1:$I$89,3,0)*0.475*44/12</f>
        <v>0</v>
      </c>
      <c r="HH97" s="23">
        <f>EXP(-LN(2)/25)*HH96+(1-EXP(-LN(2)/25))/(LN(2)/25)*Calculateur!HC97*Calculateur!HE97*VLOOKUP('Données projet'!$B$18,Paramètres!$A$1:$I$89,3,0)*0.475*44/12</f>
        <v>0</v>
      </c>
      <c r="HI97" s="23">
        <f>EXP(-LN(2)/2)*HI96+(1-EXP(-LN(2)/2))/(LN(2)/2)*HC97*HF97*VLOOKUP('Données projet'!$B$18,Paramètres!$A$1:$I$89,3,0)*0.475*44/12</f>
        <v>0</v>
      </c>
      <c r="HJ97" s="24">
        <f t="shared" si="84"/>
        <v>0</v>
      </c>
    </row>
    <row r="98" spans="1:218" s="5" customFormat="1" x14ac:dyDescent="0.3">
      <c r="A98" s="11">
        <f t="shared" si="85"/>
        <v>95</v>
      </c>
      <c r="B98" s="75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8">
        <f t="shared" si="56"/>
        <v>256.66666666666669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300</v>
      </c>
      <c r="L98" s="13">
        <f>VLOOKUP(A98,'Données projet'!$A$35:$I$55,9,0)</f>
        <v>5.2</v>
      </c>
      <c r="M98" s="13">
        <f t="array" ref="M98">INDEX(L:L,MIN(IF(ISNUMBER(L98:L294),ROW(L98:L294),"")))</f>
        <v>5.2</v>
      </c>
      <c r="N98" s="14">
        <f>IF('Données projet'!$A$36&gt;35,N97+M98-V97,IF(A98&lt;'Données projet'!$A$36,$K$205^A98,IF(A98='Données projet'!$A$36,'Données projet'!$B$36,N97+M98-V97)))</f>
        <v>299.99999999999983</v>
      </c>
      <c r="O98" s="14">
        <f>N98*VLOOKUP('Données projet'!$B$9,Paramètres!$A$1:$I$89,3,0)*VLOOKUP('Données projet'!$B$9,Paramètres!$A$1:$I$89,5,0)</f>
        <v>290.15999999999985</v>
      </c>
      <c r="P98" s="14">
        <f t="shared" si="87"/>
        <v>69.109634717039867</v>
      </c>
      <c r="Q98" s="22">
        <f t="shared" si="54"/>
        <v>625.72794713217752</v>
      </c>
      <c r="R98" s="60">
        <f t="shared" si="55"/>
        <v>919.06128046551089</v>
      </c>
      <c r="S98" s="60">
        <f ca="1">AVERAGE(OFFSET($R$3,0,0,'Données projet'!$E$9+1,1))-AVERAGE(OFFSET($H$3,0,0,'Données projet'!$E$9+1,1))</f>
        <v>456.86147223520601</v>
      </c>
      <c r="T98" s="60">
        <f t="shared" si="88"/>
        <v>244.45149244446094</v>
      </c>
      <c r="U98" s="16">
        <f>IF(ISNA(VLOOKUP(A98,'Données projet'!$A$35:$I$55,3,0)),0,VLOOKUP(A98,'Données projet'!$A$35:$I$55,3,0))</f>
        <v>8</v>
      </c>
      <c r="V98" s="16">
        <f>IF(ISNA(VLOOKUP(A98,'Données projet'!$A$35:$I$55,4,0)),0,VLOOKUP(A98,'Données projet'!$A$35:$I$55,4,0))</f>
        <v>42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2.5579538487363607E-13</v>
      </c>
      <c r="AJ98" s="14">
        <f>AI98*VLOOKUP('Données projet'!$B$10,Paramètres!$A$1:$I$89,3,0)*VLOOKUP('Données projet'!$B$10,Paramètres!$A$1:$I$89,5,0)</f>
        <v>1.6759713616920635E-13</v>
      </c>
      <c r="AK98" s="14">
        <f t="shared" si="89"/>
        <v>2.3709043131075133E-12</v>
      </c>
      <c r="AL98" s="22">
        <f t="shared" si="58"/>
        <v>4.4212233574902864E-12</v>
      </c>
      <c r="AM98" s="60">
        <f t="shared" si="59"/>
        <v>293.33333333333775</v>
      </c>
      <c r="AN98" s="60">
        <f ca="1">AVERAGE(OFFSET($AM$3,0,0,'Données projet'!$E$10+1,1))-AVERAGE(OFFSET($H$3,0,0,'Données projet'!$E$10+1,1))</f>
        <v>170.79567854714986</v>
      </c>
      <c r="AO98" s="60">
        <f t="shared" si="90"/>
        <v>155.92788004111191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-1.1368683772161603E-13</v>
      </c>
      <c r="BE98" s="14">
        <f>BD98*VLOOKUP('Données projet'!$B$11,Paramètres!$A$1:$I$89,3,0)*VLOOKUP('Données projet'!$B$11,Paramètres!$A$1:$I$89,5,0)</f>
        <v>-9.2222762759774927E-14</v>
      </c>
      <c r="BF98" s="14" t="e">
        <f t="shared" si="91"/>
        <v>#NUM!</v>
      </c>
      <c r="BG98" s="22" t="e">
        <f t="shared" si="61"/>
        <v>#NUM!</v>
      </c>
      <c r="BH98" s="60" t="e">
        <f t="shared" si="62"/>
        <v>#NUM!</v>
      </c>
      <c r="BI98" s="60">
        <f ca="1">AVERAGE(OFFSET($BH$3,0,0,'Données projet'!$E$11+1,1))-AVERAGE(OFFSET($H$3,0,0,'Données projet'!$E$11+1,1))</f>
        <v>256.19915261735281</v>
      </c>
      <c r="BJ98" s="60">
        <f t="shared" si="92"/>
        <v>297.47246687305056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233.97435897435898</v>
      </c>
      <c r="BW98" s="13">
        <f>VLOOKUP(A98,'Données projet'!$A$113:$I$133,9,0)</f>
        <v>3.333333333333337</v>
      </c>
      <c r="BX98" s="13">
        <f t="array" ref="BX98">INDEX(BW:BW,MIN(IF(ISNUMBER(BW98:BW294),ROW(BW98:BW294),"")))</f>
        <v>3.333333333333337</v>
      </c>
      <c r="BY98" s="13">
        <f>IF('Données projet'!$A$114&gt;35,BY97+BX98-CG97,IF(A98&lt;'Données projet'!$A$114,$BV$205^A98,IF(A98='Données projet'!$A$114,'Données projet'!$B$114,BY97+BX98-CG97)))</f>
        <v>233.97435897435898</v>
      </c>
      <c r="BZ98" s="14">
        <f>BY98*VLOOKUP('Données projet'!$B$12,Paramètres!$A$1:$I$89,3,0)*VLOOKUP('Données projet'!$B$12,Paramètres!$A$1:$I$89,5,0)</f>
        <v>222.65</v>
      </c>
      <c r="CA98" s="14">
        <f t="shared" si="93"/>
        <v>54.690448148719405</v>
      </c>
      <c r="CB98" s="22">
        <f t="shared" si="64"/>
        <v>483.03461385901966</v>
      </c>
      <c r="CC98" s="60">
        <f t="shared" si="65"/>
        <v>776.36794719235297</v>
      </c>
      <c r="CD98" s="60">
        <f ca="1">AVERAGE(OFFSET($CC$3,0,0,'Données projet'!$E$12+1,1))-AVERAGE(OFFSET($H$3,0,0,'Données projet'!$E$12+1,1))</f>
        <v>353.53401919391234</v>
      </c>
      <c r="CE98" s="60">
        <f t="shared" si="94"/>
        <v>244.7141066773861</v>
      </c>
      <c r="CF98" s="16">
        <f>IF(ISNA(VLOOKUP(A98,'Données projet'!$A$113:$I$133,3,0)),0,VLOOKUP(A98,'Données projet'!$A$113:$I$133,3,0))</f>
        <v>8</v>
      </c>
      <c r="CG98" s="16">
        <f>IF(ISNA(VLOOKUP(A98,'Données projet'!$A$113:$I$133,4,0)),0,VLOOKUP(A98,'Données projet'!$A$113:$I$133,4,0))</f>
        <v>23.717948717948715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300</v>
      </c>
      <c r="CR98" s="13">
        <f>VLOOKUP(A98,'Données projet'!$A$139:$I$159,9,0)</f>
        <v>5.2</v>
      </c>
      <c r="CS98" s="13">
        <f t="array" ref="CS98">INDEX(CR:CR,MIN(IF(ISNUMBER(CR98:CR294),ROW(CR98:CR294),"")))</f>
        <v>5.2</v>
      </c>
      <c r="CT98" s="13">
        <f>IF('Données projet'!$A$140&gt;35,CT97+CS98-DB97,IF(A98&lt;'Données projet'!$A$140,$CQ$205^A98,IF(A98='Données projet'!$A$140,'Données projet'!$B$140,CT97+CS98-DB97)))</f>
        <v>299.99999999999983</v>
      </c>
      <c r="CU98" s="18">
        <f>CT98*VLOOKUP('Données projet'!$B$13,Paramètres!$A$1:$I$89,3,0)*VLOOKUP('Données projet'!$B$13,Paramètres!$A$1:$I$89,5,0)</f>
        <v>252.71999999999989</v>
      </c>
      <c r="CV98" s="14">
        <f t="shared" si="95"/>
        <v>61.168020584496766</v>
      </c>
      <c r="CW98" s="22">
        <f t="shared" si="67"/>
        <v>546.6883025179983</v>
      </c>
      <c r="CX98" s="60">
        <f t="shared" si="68"/>
        <v>840.02163585133167</v>
      </c>
      <c r="CY98" s="60">
        <f ca="1">AVERAGE(OFFSET($CX$3,0,0,'Données projet'!$E$13+1,1))-AVERAGE(OFFSET($H$3,0,0,'Données projet'!$E$13+1,1))</f>
        <v>403.33327536410098</v>
      </c>
      <c r="CZ98" s="60">
        <f t="shared" si="96"/>
        <v>218.26721063098552</v>
      </c>
      <c r="DA98" s="16">
        <f>IF(ISNA(VLOOKUP(A98,'Données projet'!$A$139:$I$159,3,0)),0,VLOOKUP(A98,'Données projet'!$A$139:$I$159,3,0))</f>
        <v>8</v>
      </c>
      <c r="DB98" s="16">
        <f>IF(ISNA(VLOOKUP(A98,'Données projet'!$A$139:$I$159,4,0)),0,VLOOKUP(A98,'Données projet'!$A$139:$I$159,4,0))</f>
        <v>42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3.4106051316484809E-13</v>
      </c>
      <c r="DP98" s="18">
        <f>DO98*VLOOKUP('Données projet'!$B$14,Paramètres!$A$1:$I$89,3,0)*VLOOKUP('Données projet'!$B$14,Paramètres!$A$1:$I$89,5,0)</f>
        <v>2.7134774427395314E-13</v>
      </c>
      <c r="DQ98" s="14">
        <f t="shared" si="97"/>
        <v>3.6292411711343559E-12</v>
      </c>
      <c r="DR98" s="22">
        <f t="shared" si="70"/>
        <v>6.7935256943361388E-12</v>
      </c>
      <c r="DS98" s="60">
        <f t="shared" si="71"/>
        <v>293.33333333334014</v>
      </c>
      <c r="DT98" s="60">
        <f ca="1">AVERAGE(OFFSET($DS$3,0,0,'Données projet'!$E$14+1,1))-AVERAGE(OFFSET($H$3,0,0,'Données projet'!$E$14+1,1))</f>
        <v>317.13087551964747</v>
      </c>
      <c r="DU98" s="60">
        <f t="shared" si="98"/>
        <v>293.43300041793185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1.7053025658242404E-13</v>
      </c>
      <c r="EK98" s="18">
        <f>EJ98*VLOOKUP('Données projet'!$B$15,Paramètres!$A$1:$I$89,3,0)*VLOOKUP('Données projet'!$B$15,Paramètres!$A$1:$I$89,5,0)</f>
        <v>1.3567387213697657E-13</v>
      </c>
      <c r="EL98" s="14">
        <f t="shared" si="99"/>
        <v>1.9670967679808581E-12</v>
      </c>
      <c r="EM98" s="22">
        <f t="shared" si="73"/>
        <v>3.6623255315385623E-12</v>
      </c>
      <c r="EN98" s="60">
        <f t="shared" si="74"/>
        <v>293.33333333333695</v>
      </c>
      <c r="EO98" s="60">
        <f ca="1">AVERAGE(OFFSET($EN$3,0,0,'Données projet'!$E$15+1,1))-AVERAGE(OFFSET($H$3,0,0,'Données projet'!$E$15+1,1))</f>
        <v>253.03289960511904</v>
      </c>
      <c r="EP98" s="60">
        <f t="shared" si="100"/>
        <v>236.85088713056018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1.7053025658242404E-13</v>
      </c>
      <c r="FF98" s="18">
        <f>FE98*VLOOKUP('Données projet'!$B$16,Paramètres!$A$1:$I$89,3,0)*VLOOKUP('Données projet'!$B$16,Paramètres!$A$1:$I$89,5,0)</f>
        <v>1.4897523215040567E-13</v>
      </c>
      <c r="FG98" s="14">
        <f t="shared" si="101"/>
        <v>2.136562777003313E-12</v>
      </c>
      <c r="FH98" s="22">
        <f t="shared" si="76"/>
        <v>3.9806453659427267E-12</v>
      </c>
      <c r="FI98" s="60">
        <f t="shared" si="77"/>
        <v>293.33333333333729</v>
      </c>
      <c r="FJ98" s="60">
        <f ca="1">AVERAGE(OFFSET($FI$3,0,0,'Données projet'!$E$16+1,1))-AVERAGE(OFFSET($H$3,0,0,'Données projet'!$E$16+1,1))</f>
        <v>274.38315511766132</v>
      </c>
      <c r="FK98" s="60">
        <f t="shared" si="102"/>
        <v>255.96663040027175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11.333333333333334</v>
      </c>
      <c r="FZ98" s="13">
        <f>IF('Données projet'!$A$244&gt;35,FZ97+FY98-GH97,IF(A98&lt;'Données projet'!$A$244,$FW$205^A98,IF(A98='Données projet'!$A$244,'Données projet'!$B$244,FZ97+FY98-GH97)))</f>
        <v>545.6666666666664</v>
      </c>
      <c r="GA98" s="18">
        <f>FZ98*VLOOKUP('Données projet'!$B$17,Paramètres!$A$1:$I$89,3,0)*VLOOKUP('Données projet'!$B$17,Paramètres!$A$1:$I$89,5,0)</f>
        <v>468.18199999999985</v>
      </c>
      <c r="GB98" s="14">
        <f t="shared" si="103"/>
        <v>105.47037857558523</v>
      </c>
      <c r="GC98" s="22">
        <f t="shared" si="79"/>
        <v>999.11122601914394</v>
      </c>
      <c r="GD98" s="60">
        <f t="shared" si="80"/>
        <v>1292.4445593524772</v>
      </c>
      <c r="GE98" s="60">
        <f ca="1">AVERAGE(OFFSET($GD$3,0,0,'Données projet'!$E$17+1,1))-AVERAGE(OFFSET($H$3,0,0,'Données projet'!$E$17+1,1))</f>
        <v>445.81166342116865</v>
      </c>
      <c r="GF98" s="60">
        <f t="shared" si="104"/>
        <v>230.82970731138215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5.6843418860808015E-14</v>
      </c>
      <c r="GV98" s="18">
        <f>GU98*VLOOKUP('Données projet'!$B$18,Paramètres!$A$1:$I$89,3,0)*VLOOKUP('Données projet'!$B$18,Paramètres!$A$1:$I$89,5,0)</f>
        <v>4.4337866711430253E-14</v>
      </c>
      <c r="GW98" s="14">
        <f t="shared" si="105"/>
        <v>7.3222115536967035E-13</v>
      </c>
      <c r="GX98" s="22">
        <f t="shared" si="82"/>
        <v>1.3525069634579169E-12</v>
      </c>
      <c r="GY98" s="60">
        <f t="shared" si="83"/>
        <v>293.33333333333468</v>
      </c>
      <c r="GZ98" s="60">
        <f ca="1">AVERAGE(OFFSET($GY$3,0,0,'Données projet'!$E$18+1,1))-AVERAGE(OFFSET($H$3,0,0,'Données projet'!$E$18+1,1))</f>
        <v>289.19475369871481</v>
      </c>
      <c r="HA98" s="60">
        <f t="shared" si="106"/>
        <v>283.48738729114024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projet'!$B$18,Paramètres!$A$1:$I$89,3,0)*0.475*44/12</f>
        <v>0</v>
      </c>
      <c r="HH98" s="23">
        <f>EXP(-LN(2)/25)*HH97+(1-EXP(-LN(2)/25))/(LN(2)/25)*Calculateur!HC98*Calculateur!HE98*VLOOKUP('Données projet'!$B$18,Paramètres!$A$1:$I$89,3,0)*0.475*44/12</f>
        <v>0</v>
      </c>
      <c r="HI98" s="23">
        <f>EXP(-LN(2)/2)*HI97+(1-EXP(-LN(2)/2))/(LN(2)/2)*HC98*HF98*VLOOKUP('Données projet'!$B$18,Paramètres!$A$1:$I$89,3,0)*0.475*44/12</f>
        <v>0</v>
      </c>
      <c r="HJ98" s="24">
        <f t="shared" si="84"/>
        <v>0</v>
      </c>
    </row>
    <row r="99" spans="1:218" s="5" customFormat="1" x14ac:dyDescent="0.3">
      <c r="A99" s="11">
        <f t="shared" si="85"/>
        <v>96</v>
      </c>
      <c r="B99" s="75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8">
        <f t="shared" si="56"/>
        <v>256.66666666666669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4.7</v>
      </c>
      <c r="N99" s="14">
        <f>IF('Données projet'!$A$36&gt;35,N98+M99-V98,IF(A99&lt;'Données projet'!$A$36,$K$205^A99,IF(A99='Données projet'!$A$36,'Données projet'!$B$36,N98+M99-V98)))</f>
        <v>262.69999999999982</v>
      </c>
      <c r="O99" s="14">
        <f>N99*VLOOKUP('Données projet'!$B$9,Paramètres!$A$1:$I$89,3,0)*VLOOKUP('Données projet'!$B$9,Paramètres!$A$1:$I$89,5,0)</f>
        <v>254.08343999999983</v>
      </c>
      <c r="P99" s="14">
        <f t="shared" si="87"/>
        <v>61.459521845988199</v>
      </c>
      <c r="Q99" s="22">
        <f t="shared" ref="Q99:Q130" si="107">(O99+P99)*0.475*44/12</f>
        <v>549.57065854842915</v>
      </c>
      <c r="R99" s="60">
        <f t="shared" si="55"/>
        <v>842.90399188176252</v>
      </c>
      <c r="S99" s="60">
        <f ca="1">AVERAGE(OFFSET($R$3,0,0,'Données projet'!$E$9+1,1))-AVERAGE(OFFSET($H$3,0,0,'Données projet'!$E$9+1,1))</f>
        <v>456.86147223520601</v>
      </c>
      <c r="T99" s="60">
        <f t="shared" si="88"/>
        <v>244.45149244446094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2.5579538487363607E-13</v>
      </c>
      <c r="AJ99" s="14">
        <f>AI99*VLOOKUP('Données projet'!$B$10,Paramètres!$A$1:$I$89,3,0)*VLOOKUP('Données projet'!$B$10,Paramètres!$A$1:$I$89,5,0)</f>
        <v>1.6759713616920635E-13</v>
      </c>
      <c r="AK99" s="14">
        <f t="shared" si="89"/>
        <v>2.3709043131075133E-12</v>
      </c>
      <c r="AL99" s="22">
        <f t="shared" si="58"/>
        <v>4.4212233574902864E-12</v>
      </c>
      <c r="AM99" s="60">
        <f t="shared" si="59"/>
        <v>293.33333333333775</v>
      </c>
      <c r="AN99" s="60">
        <f ca="1">AVERAGE(OFFSET($AM$3,0,0,'Données projet'!$E$10+1,1))-AVERAGE(OFFSET($H$3,0,0,'Données projet'!$E$10+1,1))</f>
        <v>170.79567854714986</v>
      </c>
      <c r="AO99" s="60">
        <f t="shared" si="90"/>
        <v>155.92788004111191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-1.1368683772161603E-13</v>
      </c>
      <c r="BE99" s="14">
        <f>BD99*VLOOKUP('Données projet'!$B$11,Paramètres!$A$1:$I$89,3,0)*VLOOKUP('Données projet'!$B$11,Paramètres!$A$1:$I$89,5,0)</f>
        <v>-9.2222762759774927E-14</v>
      </c>
      <c r="BF99" s="14" t="e">
        <f t="shared" si="91"/>
        <v>#NUM!</v>
      </c>
      <c r="BG99" s="22" t="e">
        <f t="shared" si="61"/>
        <v>#NUM!</v>
      </c>
      <c r="BH99" s="60" t="e">
        <f t="shared" si="62"/>
        <v>#NUM!</v>
      </c>
      <c r="BI99" s="60">
        <f ca="1">AVERAGE(OFFSET($BH$3,0,0,'Données projet'!$E$11+1,1))-AVERAGE(OFFSET($H$3,0,0,'Données projet'!$E$11+1,1))</f>
        <v>256.19915261735281</v>
      </c>
      <c r="BJ99" s="60">
        <f t="shared" si="92"/>
        <v>297.47246687305056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3.2051282051281986</v>
      </c>
      <c r="BY99" s="13">
        <f>IF('Données projet'!$A$114&gt;35,BY98+BX99-CG98,IF(A99&lt;'Données projet'!$A$114,$BV$205^A99,IF(A99='Données projet'!$A$114,'Données projet'!$B$114,BY98+BX99-CG98)))</f>
        <v>213.46153846153845</v>
      </c>
      <c r="BZ99" s="14">
        <f>BY99*VLOOKUP('Données projet'!$B$12,Paramètres!$A$1:$I$89,3,0)*VLOOKUP('Données projet'!$B$12,Paramètres!$A$1:$I$89,5,0)</f>
        <v>203.13</v>
      </c>
      <c r="CA99" s="14">
        <f t="shared" si="93"/>
        <v>50.431424067617797</v>
      </c>
      <c r="CB99" s="22">
        <f t="shared" si="64"/>
        <v>441.61948025110092</v>
      </c>
      <c r="CC99" s="60">
        <f t="shared" si="65"/>
        <v>734.95281358443424</v>
      </c>
      <c r="CD99" s="60">
        <f ca="1">AVERAGE(OFFSET($CC$3,0,0,'Données projet'!$E$12+1,1))-AVERAGE(OFFSET($H$3,0,0,'Données projet'!$E$12+1,1))</f>
        <v>353.53401919391234</v>
      </c>
      <c r="CE99" s="60">
        <f t="shared" si="94"/>
        <v>244.7141066773861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4.7</v>
      </c>
      <c r="CT99" s="13">
        <f>IF('Données projet'!$A$140&gt;35,CT98+CS99-DB98,IF(A99&lt;'Données projet'!$A$140,$CQ$205^A99,IF(A99='Données projet'!$A$140,'Données projet'!$B$140,CT98+CS99-DB98)))</f>
        <v>262.69999999999982</v>
      </c>
      <c r="CU99" s="18">
        <f>CT99*VLOOKUP('Données projet'!$B$13,Paramètres!$A$1:$I$89,3,0)*VLOOKUP('Données projet'!$B$13,Paramètres!$A$1:$I$89,5,0)</f>
        <v>221.29847999999987</v>
      </c>
      <c r="CV99" s="14">
        <f t="shared" si="95"/>
        <v>54.397007201397059</v>
      </c>
      <c r="CW99" s="22">
        <f t="shared" si="67"/>
        <v>480.16964020909967</v>
      </c>
      <c r="CX99" s="60">
        <f t="shared" si="68"/>
        <v>773.50297354243298</v>
      </c>
      <c r="CY99" s="60">
        <f ca="1">AVERAGE(OFFSET($CX$3,0,0,'Données projet'!$E$13+1,1))-AVERAGE(OFFSET($H$3,0,0,'Données projet'!$E$13+1,1))</f>
        <v>403.33327536410098</v>
      </c>
      <c r="CZ99" s="60">
        <f t="shared" si="96"/>
        <v>218.26721063098552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3.4106051316484809E-13</v>
      </c>
      <c r="DP99" s="18">
        <f>DO99*VLOOKUP('Données projet'!$B$14,Paramètres!$A$1:$I$89,3,0)*VLOOKUP('Données projet'!$B$14,Paramètres!$A$1:$I$89,5,0)</f>
        <v>2.7134774427395314E-13</v>
      </c>
      <c r="DQ99" s="14">
        <f t="shared" si="97"/>
        <v>3.6292411711343559E-12</v>
      </c>
      <c r="DR99" s="22">
        <f t="shared" si="70"/>
        <v>6.7935256943361388E-12</v>
      </c>
      <c r="DS99" s="60">
        <f t="shared" si="71"/>
        <v>293.33333333334014</v>
      </c>
      <c r="DT99" s="60">
        <f ca="1">AVERAGE(OFFSET($DS$3,0,0,'Données projet'!$E$14+1,1))-AVERAGE(OFFSET($H$3,0,0,'Données projet'!$E$14+1,1))</f>
        <v>317.13087551964747</v>
      </c>
      <c r="DU99" s="60">
        <f t="shared" si="98"/>
        <v>293.43300041793185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1.7053025658242404E-13</v>
      </c>
      <c r="EK99" s="18">
        <f>EJ99*VLOOKUP('Données projet'!$B$15,Paramètres!$A$1:$I$89,3,0)*VLOOKUP('Données projet'!$B$15,Paramètres!$A$1:$I$89,5,0)</f>
        <v>1.3567387213697657E-13</v>
      </c>
      <c r="EL99" s="14">
        <f t="shared" si="99"/>
        <v>1.9670967679808581E-12</v>
      </c>
      <c r="EM99" s="22">
        <f t="shared" si="73"/>
        <v>3.6623255315385623E-12</v>
      </c>
      <c r="EN99" s="60">
        <f t="shared" si="74"/>
        <v>293.33333333333695</v>
      </c>
      <c r="EO99" s="60">
        <f ca="1">AVERAGE(OFFSET($EN$3,0,0,'Données projet'!$E$15+1,1))-AVERAGE(OFFSET($H$3,0,0,'Données projet'!$E$15+1,1))</f>
        <v>253.03289960511904</v>
      </c>
      <c r="EP99" s="60">
        <f t="shared" si="100"/>
        <v>236.85088713056018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1.7053025658242404E-13</v>
      </c>
      <c r="FF99" s="18">
        <f>FE99*VLOOKUP('Données projet'!$B$16,Paramètres!$A$1:$I$89,3,0)*VLOOKUP('Données projet'!$B$16,Paramètres!$A$1:$I$89,5,0)</f>
        <v>1.4897523215040567E-13</v>
      </c>
      <c r="FG99" s="14">
        <f t="shared" si="101"/>
        <v>2.136562777003313E-12</v>
      </c>
      <c r="FH99" s="22">
        <f t="shared" si="76"/>
        <v>3.9806453659427267E-12</v>
      </c>
      <c r="FI99" s="60">
        <f t="shared" si="77"/>
        <v>293.33333333333729</v>
      </c>
      <c r="FJ99" s="60">
        <f ca="1">AVERAGE(OFFSET($FI$3,0,0,'Données projet'!$E$16+1,1))-AVERAGE(OFFSET($H$3,0,0,'Données projet'!$E$16+1,1))</f>
        <v>274.38315511766132</v>
      </c>
      <c r="FK99" s="60">
        <f t="shared" si="102"/>
        <v>255.96663040027175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>
        <f>VLOOKUP(A99,'Données projet'!$A$243:$I$263,2,0)</f>
        <v>557</v>
      </c>
      <c r="FX99" s="13">
        <f>VLOOKUP(A99,'Données projet'!$A$243:$I$263,9,0)</f>
        <v>11.333333333333334</v>
      </c>
      <c r="FY99" s="13">
        <f t="array" ref="FY99">INDEX(FX:FX,MIN(IF(ISNUMBER(FX99:FX295),ROW(FX99:FX295),"")))</f>
        <v>11.333333333333334</v>
      </c>
      <c r="FZ99" s="13">
        <f>IF('Données projet'!$A$244&gt;35,FZ98+FY99-GH98,IF(A99&lt;'Données projet'!$A$244,$FW$205^A99,IF(A99='Données projet'!$A$244,'Données projet'!$B$244,FZ98+FY99-GH98)))</f>
        <v>556.99999999999977</v>
      </c>
      <c r="GA99" s="18">
        <f>FZ99*VLOOKUP('Données projet'!$B$17,Paramètres!$A$1:$I$89,3,0)*VLOOKUP('Données projet'!$B$17,Paramètres!$A$1:$I$89,5,0)</f>
        <v>477.90599999999989</v>
      </c>
      <c r="GB99" s="14">
        <f t="shared" si="103"/>
        <v>107.4036604395269</v>
      </c>
      <c r="GC99" s="22">
        <f t="shared" si="79"/>
        <v>1019.4143252655093</v>
      </c>
      <c r="GD99" s="60">
        <f t="shared" si="80"/>
        <v>1312.7476585988427</v>
      </c>
      <c r="GE99" s="60">
        <f ca="1">AVERAGE(OFFSET($GD$3,0,0,'Données projet'!$E$17+1,1))-AVERAGE(OFFSET($H$3,0,0,'Données projet'!$E$17+1,1))</f>
        <v>445.81166342116865</v>
      </c>
      <c r="GF99" s="60">
        <f t="shared" si="104"/>
        <v>230.82970731138215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5.6843418860808015E-14</v>
      </c>
      <c r="GV99" s="18">
        <f>GU99*VLOOKUP('Données projet'!$B$18,Paramètres!$A$1:$I$89,3,0)*VLOOKUP('Données projet'!$B$18,Paramètres!$A$1:$I$89,5,0)</f>
        <v>4.4337866711430253E-14</v>
      </c>
      <c r="GW99" s="14">
        <f t="shared" si="105"/>
        <v>7.3222115536967035E-13</v>
      </c>
      <c r="GX99" s="22">
        <f t="shared" si="82"/>
        <v>1.3525069634579169E-12</v>
      </c>
      <c r="GY99" s="60">
        <f t="shared" si="83"/>
        <v>293.33333333333468</v>
      </c>
      <c r="GZ99" s="60">
        <f ca="1">AVERAGE(OFFSET($GY$3,0,0,'Données projet'!$E$18+1,1))-AVERAGE(OFFSET($H$3,0,0,'Données projet'!$E$18+1,1))</f>
        <v>289.19475369871481</v>
      </c>
      <c r="HA99" s="60">
        <f t="shared" si="106"/>
        <v>283.48738729114024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projet'!$B$18,Paramètres!$A$1:$I$89,3,0)*0.475*44/12</f>
        <v>0</v>
      </c>
      <c r="HH99" s="23">
        <f>EXP(-LN(2)/25)*HH98+(1-EXP(-LN(2)/25))/(LN(2)/25)*Calculateur!HC99*Calculateur!HE99*VLOOKUP('Données projet'!$B$18,Paramètres!$A$1:$I$89,3,0)*0.475*44/12</f>
        <v>0</v>
      </c>
      <c r="HI99" s="23">
        <f>EXP(-LN(2)/2)*HI98+(1-EXP(-LN(2)/2))/(LN(2)/2)*HC99*HF99*VLOOKUP('Données projet'!$B$18,Paramètres!$A$1:$I$89,3,0)*0.475*44/12</f>
        <v>0</v>
      </c>
      <c r="HJ99" s="24">
        <f t="shared" si="84"/>
        <v>0</v>
      </c>
    </row>
    <row r="100" spans="1:218" s="5" customFormat="1" x14ac:dyDescent="0.3">
      <c r="A100" s="11">
        <f t="shared" si="85"/>
        <v>97</v>
      </c>
      <c r="B100" s="75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8">
        <f t="shared" si="56"/>
        <v>256.66666666666669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4.7</v>
      </c>
      <c r="N100" s="14">
        <f>IF('Données projet'!$A$36&gt;35,N99+M100-V99,IF(A100&lt;'Données projet'!$A$36,$K$205^A100,IF(A100='Données projet'!$A$36,'Données projet'!$B$36,N99+M100-V99)))</f>
        <v>267.39999999999981</v>
      </c>
      <c r="O100" s="14">
        <f>N100*VLOOKUP('Données projet'!$B$9,Paramètres!$A$1:$I$89,3,0)*VLOOKUP('Données projet'!$B$9,Paramètres!$A$1:$I$89,5,0)</f>
        <v>258.62927999999982</v>
      </c>
      <c r="P100" s="14">
        <f t="shared" si="87"/>
        <v>62.430106017481869</v>
      </c>
      <c r="Q100" s="22">
        <f t="shared" si="107"/>
        <v>559.17843064711394</v>
      </c>
      <c r="R100" s="60">
        <f t="shared" si="55"/>
        <v>852.51176398044731</v>
      </c>
      <c r="S100" s="60">
        <f ca="1">AVERAGE(OFFSET($R$3,0,0,'Données projet'!$E$9+1,1))-AVERAGE(OFFSET($H$3,0,0,'Données projet'!$E$9+1,1))</f>
        <v>456.86147223520601</v>
      </c>
      <c r="T100" s="60">
        <f t="shared" si="88"/>
        <v>244.45149244446094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2.5579538487363607E-13</v>
      </c>
      <c r="AJ100" s="14">
        <f>AI100*VLOOKUP('Données projet'!$B$10,Paramètres!$A$1:$I$89,3,0)*VLOOKUP('Données projet'!$B$10,Paramètres!$A$1:$I$89,5,0)</f>
        <v>1.6759713616920635E-13</v>
      </c>
      <c r="AK100" s="14">
        <f t="shared" si="89"/>
        <v>2.3709043131075133E-12</v>
      </c>
      <c r="AL100" s="22">
        <f t="shared" si="58"/>
        <v>4.4212233574902864E-12</v>
      </c>
      <c r="AM100" s="60">
        <f t="shared" si="59"/>
        <v>293.33333333333775</v>
      </c>
      <c r="AN100" s="60">
        <f ca="1">AVERAGE(OFFSET($AM$3,0,0,'Données projet'!$E$10+1,1))-AVERAGE(OFFSET($H$3,0,0,'Données projet'!$E$10+1,1))</f>
        <v>170.79567854714986</v>
      </c>
      <c r="AO100" s="60">
        <f t="shared" si="90"/>
        <v>155.92788004111191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-1.1368683772161603E-13</v>
      </c>
      <c r="BE100" s="14">
        <f>BD100*VLOOKUP('Données projet'!$B$11,Paramètres!$A$1:$I$89,3,0)*VLOOKUP('Données projet'!$B$11,Paramètres!$A$1:$I$89,5,0)</f>
        <v>-9.2222762759774927E-14</v>
      </c>
      <c r="BF100" s="14" t="e">
        <f t="shared" si="91"/>
        <v>#NUM!</v>
      </c>
      <c r="BG100" s="22" t="e">
        <f t="shared" si="61"/>
        <v>#NUM!</v>
      </c>
      <c r="BH100" s="60" t="e">
        <f t="shared" si="62"/>
        <v>#NUM!</v>
      </c>
      <c r="BI100" s="60">
        <f ca="1">AVERAGE(OFFSET($BH$3,0,0,'Données projet'!$E$11+1,1))-AVERAGE(OFFSET($H$3,0,0,'Données projet'!$E$11+1,1))</f>
        <v>256.19915261735281</v>
      </c>
      <c r="BJ100" s="60">
        <f t="shared" si="92"/>
        <v>297.47246687305056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3.2051282051281986</v>
      </c>
      <c r="BY100" s="13">
        <f>IF('Données projet'!$A$114&gt;35,BY99+BX100-CG99,IF(A100&lt;'Données projet'!$A$114,$BV$205^A100,IF(A100='Données projet'!$A$114,'Données projet'!$B$114,BY99+BX100-CG99)))</f>
        <v>216.66666666666666</v>
      </c>
      <c r="BZ100" s="14">
        <f>BY100*VLOOKUP('Données projet'!$B$12,Paramètres!$A$1:$I$89,3,0)*VLOOKUP('Données projet'!$B$12,Paramètres!$A$1:$I$89,5,0)</f>
        <v>206.17999999999998</v>
      </c>
      <c r="CA100" s="14">
        <f t="shared" si="93"/>
        <v>51.09992979292003</v>
      </c>
      <c r="CB100" s="22">
        <f t="shared" si="64"/>
        <v>448.095877722669</v>
      </c>
      <c r="CC100" s="60">
        <f t="shared" si="65"/>
        <v>741.42921105600226</v>
      </c>
      <c r="CD100" s="60">
        <f ca="1">AVERAGE(OFFSET($CC$3,0,0,'Données projet'!$E$12+1,1))-AVERAGE(OFFSET($H$3,0,0,'Données projet'!$E$12+1,1))</f>
        <v>353.53401919391234</v>
      </c>
      <c r="CE100" s="60">
        <f t="shared" si="94"/>
        <v>244.7141066773861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4.7</v>
      </c>
      <c r="CT100" s="13">
        <f>IF('Données projet'!$A$140&gt;35,CT99+CS100-DB99,IF(A100&lt;'Données projet'!$A$140,$CQ$205^A100,IF(A100='Données projet'!$A$140,'Données projet'!$B$140,CT99+CS100-DB99)))</f>
        <v>267.39999999999981</v>
      </c>
      <c r="CU100" s="18">
        <f>CT100*VLOOKUP('Données projet'!$B$13,Paramètres!$A$1:$I$89,3,0)*VLOOKUP('Données projet'!$B$13,Paramètres!$A$1:$I$89,5,0)</f>
        <v>225.25775999999985</v>
      </c>
      <c r="CV100" s="14">
        <f t="shared" si="95"/>
        <v>55.256058371671443</v>
      </c>
      <c r="CW100" s="22">
        <f t="shared" si="67"/>
        <v>488.56156699732747</v>
      </c>
      <c r="CX100" s="60">
        <f t="shared" si="68"/>
        <v>781.89490033066079</v>
      </c>
      <c r="CY100" s="60">
        <f ca="1">AVERAGE(OFFSET($CX$3,0,0,'Données projet'!$E$13+1,1))-AVERAGE(OFFSET($H$3,0,0,'Données projet'!$E$13+1,1))</f>
        <v>403.33327536410098</v>
      </c>
      <c r="CZ100" s="60">
        <f t="shared" si="96"/>
        <v>218.26721063098552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3.4106051316484809E-13</v>
      </c>
      <c r="DP100" s="18">
        <f>DO100*VLOOKUP('Données projet'!$B$14,Paramètres!$A$1:$I$89,3,0)*VLOOKUP('Données projet'!$B$14,Paramètres!$A$1:$I$89,5,0)</f>
        <v>2.7134774427395314E-13</v>
      </c>
      <c r="DQ100" s="14">
        <f t="shared" si="97"/>
        <v>3.6292411711343559E-12</v>
      </c>
      <c r="DR100" s="22">
        <f t="shared" si="70"/>
        <v>6.7935256943361388E-12</v>
      </c>
      <c r="DS100" s="60">
        <f t="shared" si="71"/>
        <v>293.33333333334014</v>
      </c>
      <c r="DT100" s="60">
        <f ca="1">AVERAGE(OFFSET($DS$3,0,0,'Données projet'!$E$14+1,1))-AVERAGE(OFFSET($H$3,0,0,'Données projet'!$E$14+1,1))</f>
        <v>317.13087551964747</v>
      </c>
      <c r="DU100" s="60">
        <f t="shared" si="98"/>
        <v>293.43300041793185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1.7053025658242404E-13</v>
      </c>
      <c r="EK100" s="18">
        <f>EJ100*VLOOKUP('Données projet'!$B$15,Paramètres!$A$1:$I$89,3,0)*VLOOKUP('Données projet'!$B$15,Paramètres!$A$1:$I$89,5,0)</f>
        <v>1.3567387213697657E-13</v>
      </c>
      <c r="EL100" s="14">
        <f t="shared" si="99"/>
        <v>1.9670967679808581E-12</v>
      </c>
      <c r="EM100" s="22">
        <f t="shared" si="73"/>
        <v>3.6623255315385623E-12</v>
      </c>
      <c r="EN100" s="60">
        <f t="shared" si="74"/>
        <v>293.33333333333695</v>
      </c>
      <c r="EO100" s="60">
        <f ca="1">AVERAGE(OFFSET($EN$3,0,0,'Données projet'!$E$15+1,1))-AVERAGE(OFFSET($H$3,0,0,'Données projet'!$E$15+1,1))</f>
        <v>253.03289960511904</v>
      </c>
      <c r="EP100" s="60">
        <f t="shared" si="100"/>
        <v>236.85088713056018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1.7053025658242404E-13</v>
      </c>
      <c r="FF100" s="18">
        <f>FE100*VLOOKUP('Données projet'!$B$16,Paramètres!$A$1:$I$89,3,0)*VLOOKUP('Données projet'!$B$16,Paramètres!$A$1:$I$89,5,0)</f>
        <v>1.4897523215040567E-13</v>
      </c>
      <c r="FG100" s="14">
        <f t="shared" si="101"/>
        <v>2.136562777003313E-12</v>
      </c>
      <c r="FH100" s="22">
        <f t="shared" si="76"/>
        <v>3.9806453659427267E-12</v>
      </c>
      <c r="FI100" s="60">
        <f t="shared" si="77"/>
        <v>293.33333333333729</v>
      </c>
      <c r="FJ100" s="60">
        <f ca="1">AVERAGE(OFFSET($FI$3,0,0,'Données projet'!$E$16+1,1))-AVERAGE(OFFSET($H$3,0,0,'Données projet'!$E$16+1,1))</f>
        <v>274.38315511766132</v>
      </c>
      <c r="FK100" s="60">
        <f t="shared" si="102"/>
        <v>255.96663040027175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11.333333333333334</v>
      </c>
      <c r="FZ100" s="13">
        <f>IF('Données projet'!$A$244&gt;35,FZ99+FY100-GH99,IF(A100&lt;'Données projet'!$A$244,$FW$205^A100,IF(A100='Données projet'!$A$244,'Données projet'!$B$244,FZ99+FY100-GH99)))</f>
        <v>568.33333333333314</v>
      </c>
      <c r="GA100" s="18">
        <f>FZ100*VLOOKUP('Données projet'!$B$17,Paramètres!$A$1:$I$89,3,0)*VLOOKUP('Données projet'!$B$17,Paramètres!$A$1:$I$89,5,0)</f>
        <v>487.62999999999988</v>
      </c>
      <c r="GB100" s="14">
        <f t="shared" si="103"/>
        <v>109.33236859887117</v>
      </c>
      <c r="GC100" s="22">
        <f t="shared" si="79"/>
        <v>1039.7094586430337</v>
      </c>
      <c r="GD100" s="60">
        <f t="shared" si="80"/>
        <v>1333.042791976367</v>
      </c>
      <c r="GE100" s="60">
        <f ca="1">AVERAGE(OFFSET($GD$3,0,0,'Données projet'!$E$17+1,1))-AVERAGE(OFFSET($H$3,0,0,'Données projet'!$E$17+1,1))</f>
        <v>445.81166342116865</v>
      </c>
      <c r="GF100" s="60">
        <f t="shared" si="104"/>
        <v>230.82970731138215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5.6843418860808015E-14</v>
      </c>
      <c r="GV100" s="18">
        <f>GU100*VLOOKUP('Données projet'!$B$18,Paramètres!$A$1:$I$89,3,0)*VLOOKUP('Données projet'!$B$18,Paramètres!$A$1:$I$89,5,0)</f>
        <v>4.4337866711430253E-14</v>
      </c>
      <c r="GW100" s="14">
        <f t="shared" si="105"/>
        <v>7.3222115536967035E-13</v>
      </c>
      <c r="GX100" s="22">
        <f t="shared" si="82"/>
        <v>1.3525069634579169E-12</v>
      </c>
      <c r="GY100" s="60">
        <f t="shared" si="83"/>
        <v>293.33333333333468</v>
      </c>
      <c r="GZ100" s="60">
        <f ca="1">AVERAGE(OFFSET($GY$3,0,0,'Données projet'!$E$18+1,1))-AVERAGE(OFFSET($H$3,0,0,'Données projet'!$E$18+1,1))</f>
        <v>289.19475369871481</v>
      </c>
      <c r="HA100" s="60">
        <f t="shared" si="106"/>
        <v>283.48738729114024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projet'!$B$18,Paramètres!$A$1:$I$89,3,0)*0.475*44/12</f>
        <v>0</v>
      </c>
      <c r="HH100" s="23">
        <f>EXP(-LN(2)/25)*HH99+(1-EXP(-LN(2)/25))/(LN(2)/25)*Calculateur!HC100*Calculateur!HE100*VLOOKUP('Données projet'!$B$18,Paramètres!$A$1:$I$89,3,0)*0.475*44/12</f>
        <v>0</v>
      </c>
      <c r="HI100" s="23">
        <f>EXP(-LN(2)/2)*HI99+(1-EXP(-LN(2)/2))/(LN(2)/2)*HC100*HF100*VLOOKUP('Données projet'!$B$18,Paramètres!$A$1:$I$89,3,0)*0.475*44/12</f>
        <v>0</v>
      </c>
      <c r="HJ100" s="24">
        <f t="shared" si="84"/>
        <v>0</v>
      </c>
    </row>
    <row r="101" spans="1:218" s="5" customFormat="1" x14ac:dyDescent="0.3">
      <c r="A101" s="11">
        <f t="shared" si="85"/>
        <v>98</v>
      </c>
      <c r="B101" s="75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8">
        <f t="shared" si="56"/>
        <v>256.66666666666669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4.7</v>
      </c>
      <c r="N101" s="14">
        <f>IF('Données projet'!$A$36&gt;35,N100+M101-V100,IF(A101&lt;'Données projet'!$A$36,$K$205^A101,IF(A101='Données projet'!$A$36,'Données projet'!$B$36,N100+M101-V100)))</f>
        <v>272.0999999999998</v>
      </c>
      <c r="O101" s="14">
        <f>N101*VLOOKUP('Données projet'!$B$9,Paramètres!$A$1:$I$89,3,0)*VLOOKUP('Données projet'!$B$9,Paramètres!$A$1:$I$89,5,0)</f>
        <v>263.17511999999982</v>
      </c>
      <c r="P101" s="14">
        <f t="shared" si="87"/>
        <v>63.398706369770494</v>
      </c>
      <c r="Q101" s="22">
        <f t="shared" si="107"/>
        <v>568.78274759401654</v>
      </c>
      <c r="R101" s="60">
        <f t="shared" si="55"/>
        <v>862.11608092734991</v>
      </c>
      <c r="S101" s="60">
        <f ca="1">AVERAGE(OFFSET($R$3,0,0,'Données projet'!$E$9+1,1))-AVERAGE(OFFSET($H$3,0,0,'Données projet'!$E$9+1,1))</f>
        <v>456.86147223520601</v>
      </c>
      <c r="T101" s="60">
        <f t="shared" si="88"/>
        <v>244.45149244446094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2.5579538487363607E-13</v>
      </c>
      <c r="AJ101" s="14">
        <f>AI101*VLOOKUP('Données projet'!$B$10,Paramètres!$A$1:$I$89,3,0)*VLOOKUP('Données projet'!$B$10,Paramètres!$A$1:$I$89,5,0)</f>
        <v>1.6759713616920635E-13</v>
      </c>
      <c r="AK101" s="14">
        <f t="shared" si="89"/>
        <v>2.3709043131075133E-12</v>
      </c>
      <c r="AL101" s="22">
        <f t="shared" si="58"/>
        <v>4.4212233574902864E-12</v>
      </c>
      <c r="AM101" s="60">
        <f t="shared" si="59"/>
        <v>293.33333333333775</v>
      </c>
      <c r="AN101" s="60">
        <f ca="1">AVERAGE(OFFSET($AM$3,0,0,'Données projet'!$E$10+1,1))-AVERAGE(OFFSET($H$3,0,0,'Données projet'!$E$10+1,1))</f>
        <v>170.79567854714986</v>
      </c>
      <c r="AO101" s="60">
        <f t="shared" si="90"/>
        <v>155.92788004111191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-1.1368683772161603E-13</v>
      </c>
      <c r="BE101" s="14">
        <f>BD101*VLOOKUP('Données projet'!$B$11,Paramètres!$A$1:$I$89,3,0)*VLOOKUP('Données projet'!$B$11,Paramètres!$A$1:$I$89,5,0)</f>
        <v>-9.2222762759774927E-14</v>
      </c>
      <c r="BF101" s="14" t="e">
        <f t="shared" si="91"/>
        <v>#NUM!</v>
      </c>
      <c r="BG101" s="22" t="e">
        <f t="shared" si="61"/>
        <v>#NUM!</v>
      </c>
      <c r="BH101" s="60" t="e">
        <f t="shared" si="62"/>
        <v>#NUM!</v>
      </c>
      <c r="BI101" s="60">
        <f ca="1">AVERAGE(OFFSET($BH$3,0,0,'Données projet'!$E$11+1,1))-AVERAGE(OFFSET($H$3,0,0,'Données projet'!$E$11+1,1))</f>
        <v>256.19915261735281</v>
      </c>
      <c r="BJ101" s="60">
        <f t="shared" si="92"/>
        <v>297.47246687305056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3.2051282051281986</v>
      </c>
      <c r="BY101" s="13">
        <f>IF('Données projet'!$A$114&gt;35,BY100+BX101-CG100,IF(A101&lt;'Données projet'!$A$114,$BV$205^A101,IF(A101='Données projet'!$A$114,'Données projet'!$B$114,BY100+BX101-CG100)))</f>
        <v>219.87179487179486</v>
      </c>
      <c r="BZ101" s="14">
        <f>BY101*VLOOKUP('Données projet'!$B$12,Paramètres!$A$1:$I$89,3,0)*VLOOKUP('Données projet'!$B$12,Paramètres!$A$1:$I$89,5,0)</f>
        <v>209.23</v>
      </c>
      <c r="CA101" s="14">
        <f t="shared" si="93"/>
        <v>51.767285368675203</v>
      </c>
      <c r="CB101" s="22">
        <f t="shared" si="64"/>
        <v>454.57027201710929</v>
      </c>
      <c r="CC101" s="60">
        <f t="shared" si="65"/>
        <v>747.9036053504426</v>
      </c>
      <c r="CD101" s="60">
        <f ca="1">AVERAGE(OFFSET($CC$3,0,0,'Données projet'!$E$12+1,1))-AVERAGE(OFFSET($H$3,0,0,'Données projet'!$E$12+1,1))</f>
        <v>353.53401919391234</v>
      </c>
      <c r="CE101" s="60">
        <f t="shared" si="94"/>
        <v>244.7141066773861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4.7</v>
      </c>
      <c r="CT101" s="13">
        <f>IF('Données projet'!$A$140&gt;35,CT100+CS101-DB100,IF(A101&lt;'Données projet'!$A$140,$CQ$205^A101,IF(A101='Données projet'!$A$140,'Données projet'!$B$140,CT100+CS101-DB100)))</f>
        <v>272.0999999999998</v>
      </c>
      <c r="CU101" s="18">
        <f>CT101*VLOOKUP('Données projet'!$B$13,Paramètres!$A$1:$I$89,3,0)*VLOOKUP('Données projet'!$B$13,Paramètres!$A$1:$I$89,5,0)</f>
        <v>229.21703999999988</v>
      </c>
      <c r="CV101" s="14">
        <f t="shared" si="95"/>
        <v>56.113353689893408</v>
      </c>
      <c r="CW101" s="22">
        <f t="shared" si="67"/>
        <v>496.95043567656421</v>
      </c>
      <c r="CX101" s="60">
        <f t="shared" si="68"/>
        <v>790.28376900989747</v>
      </c>
      <c r="CY101" s="60">
        <f ca="1">AVERAGE(OFFSET($CX$3,0,0,'Données projet'!$E$13+1,1))-AVERAGE(OFFSET($H$3,0,0,'Données projet'!$E$13+1,1))</f>
        <v>403.33327536410098</v>
      </c>
      <c r="CZ101" s="60">
        <f t="shared" si="96"/>
        <v>218.26721063098552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3.4106051316484809E-13</v>
      </c>
      <c r="DP101" s="18">
        <f>DO101*VLOOKUP('Données projet'!$B$14,Paramètres!$A$1:$I$89,3,0)*VLOOKUP('Données projet'!$B$14,Paramètres!$A$1:$I$89,5,0)</f>
        <v>2.7134774427395314E-13</v>
      </c>
      <c r="DQ101" s="14">
        <f t="shared" si="97"/>
        <v>3.6292411711343559E-12</v>
      </c>
      <c r="DR101" s="22">
        <f t="shared" si="70"/>
        <v>6.7935256943361388E-12</v>
      </c>
      <c r="DS101" s="60">
        <f t="shared" si="71"/>
        <v>293.33333333334014</v>
      </c>
      <c r="DT101" s="60">
        <f ca="1">AVERAGE(OFFSET($DS$3,0,0,'Données projet'!$E$14+1,1))-AVERAGE(OFFSET($H$3,0,0,'Données projet'!$E$14+1,1))</f>
        <v>317.13087551964747</v>
      </c>
      <c r="DU101" s="60">
        <f t="shared" si="98"/>
        <v>293.43300041793185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1.7053025658242404E-13</v>
      </c>
      <c r="EK101" s="18">
        <f>EJ101*VLOOKUP('Données projet'!$B$15,Paramètres!$A$1:$I$89,3,0)*VLOOKUP('Données projet'!$B$15,Paramètres!$A$1:$I$89,5,0)</f>
        <v>1.3567387213697657E-13</v>
      </c>
      <c r="EL101" s="14">
        <f t="shared" si="99"/>
        <v>1.9670967679808581E-12</v>
      </c>
      <c r="EM101" s="22">
        <f t="shared" si="73"/>
        <v>3.6623255315385623E-12</v>
      </c>
      <c r="EN101" s="60">
        <f t="shared" si="74"/>
        <v>293.33333333333695</v>
      </c>
      <c r="EO101" s="60">
        <f ca="1">AVERAGE(OFFSET($EN$3,0,0,'Données projet'!$E$15+1,1))-AVERAGE(OFFSET($H$3,0,0,'Données projet'!$E$15+1,1))</f>
        <v>253.03289960511904</v>
      </c>
      <c r="EP101" s="60">
        <f t="shared" si="100"/>
        <v>236.85088713056018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1.7053025658242404E-13</v>
      </c>
      <c r="FF101" s="18">
        <f>FE101*VLOOKUP('Données projet'!$B$16,Paramètres!$A$1:$I$89,3,0)*VLOOKUP('Données projet'!$B$16,Paramètres!$A$1:$I$89,5,0)</f>
        <v>1.4897523215040567E-13</v>
      </c>
      <c r="FG101" s="14">
        <f t="shared" si="101"/>
        <v>2.136562777003313E-12</v>
      </c>
      <c r="FH101" s="22">
        <f t="shared" si="76"/>
        <v>3.9806453659427267E-12</v>
      </c>
      <c r="FI101" s="60">
        <f t="shared" si="77"/>
        <v>293.33333333333729</v>
      </c>
      <c r="FJ101" s="60">
        <f ca="1">AVERAGE(OFFSET($FI$3,0,0,'Données projet'!$E$16+1,1))-AVERAGE(OFFSET($H$3,0,0,'Données projet'!$E$16+1,1))</f>
        <v>274.38315511766132</v>
      </c>
      <c r="FK101" s="60">
        <f t="shared" si="102"/>
        <v>255.96663040027175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11.333333333333334</v>
      </c>
      <c r="FZ101" s="13">
        <f>IF('Données projet'!$A$244&gt;35,FZ100+FY101-GH100,IF(A101&lt;'Données projet'!$A$244,$FW$205^A101,IF(A101='Données projet'!$A$244,'Données projet'!$B$244,FZ100+FY101-GH100)))</f>
        <v>579.66666666666652</v>
      </c>
      <c r="GA101" s="18">
        <f>FZ101*VLOOKUP('Données projet'!$B$17,Paramètres!$A$1:$I$89,3,0)*VLOOKUP('Données projet'!$B$17,Paramètres!$A$1:$I$89,5,0)</f>
        <v>497.35399999999993</v>
      </c>
      <c r="GB101" s="14">
        <f t="shared" si="103"/>
        <v>111.25660477134088</v>
      </c>
      <c r="GC101" s="22">
        <f t="shared" si="79"/>
        <v>1059.9968033100852</v>
      </c>
      <c r="GD101" s="60">
        <f t="shared" si="80"/>
        <v>1353.3301366434184</v>
      </c>
      <c r="GE101" s="60">
        <f ca="1">AVERAGE(OFFSET($GD$3,0,0,'Données projet'!$E$17+1,1))-AVERAGE(OFFSET($H$3,0,0,'Données projet'!$E$17+1,1))</f>
        <v>445.81166342116865</v>
      </c>
      <c r="GF101" s="60">
        <f t="shared" si="104"/>
        <v>230.82970731138215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5.6843418860808015E-14</v>
      </c>
      <c r="GV101" s="18">
        <f>GU101*VLOOKUP('Données projet'!$B$18,Paramètres!$A$1:$I$89,3,0)*VLOOKUP('Données projet'!$B$18,Paramètres!$A$1:$I$89,5,0)</f>
        <v>4.4337866711430253E-14</v>
      </c>
      <c r="GW101" s="14">
        <f t="shared" si="105"/>
        <v>7.3222115536967035E-13</v>
      </c>
      <c r="GX101" s="22">
        <f t="shared" si="82"/>
        <v>1.3525069634579169E-12</v>
      </c>
      <c r="GY101" s="60">
        <f t="shared" si="83"/>
        <v>293.33333333333468</v>
      </c>
      <c r="GZ101" s="60">
        <f ca="1">AVERAGE(OFFSET($GY$3,0,0,'Données projet'!$E$18+1,1))-AVERAGE(OFFSET($H$3,0,0,'Données projet'!$E$18+1,1))</f>
        <v>289.19475369871481</v>
      </c>
      <c r="HA101" s="60">
        <f t="shared" si="106"/>
        <v>283.48738729114024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projet'!$B$18,Paramètres!$A$1:$I$89,3,0)*0.475*44/12</f>
        <v>0</v>
      </c>
      <c r="HH101" s="23">
        <f>EXP(-LN(2)/25)*HH100+(1-EXP(-LN(2)/25))/(LN(2)/25)*Calculateur!HC101*Calculateur!HE101*VLOOKUP('Données projet'!$B$18,Paramètres!$A$1:$I$89,3,0)*0.475*44/12</f>
        <v>0</v>
      </c>
      <c r="HI101" s="23">
        <f>EXP(-LN(2)/2)*HI100+(1-EXP(-LN(2)/2))/(LN(2)/2)*HC101*HF101*VLOOKUP('Données projet'!$B$18,Paramètres!$A$1:$I$89,3,0)*0.475*44/12</f>
        <v>0</v>
      </c>
      <c r="HJ101" s="24">
        <f t="shared" si="84"/>
        <v>0</v>
      </c>
    </row>
    <row r="102" spans="1:218" s="5" customFormat="1" x14ac:dyDescent="0.3">
      <c r="A102" s="11">
        <f t="shared" si="85"/>
        <v>99</v>
      </c>
      <c r="B102" s="75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8">
        <f t="shared" si="56"/>
        <v>256.66666666666669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4.7</v>
      </c>
      <c r="N102" s="14">
        <f>IF('Données projet'!$A$36&gt;35,N101+M102-V101,IF(A102&lt;'Données projet'!$A$36,$K$205^A102,IF(A102='Données projet'!$A$36,'Données projet'!$B$36,N101+M102-V101)))</f>
        <v>276.79999999999978</v>
      </c>
      <c r="O102" s="14">
        <f>N102*VLOOKUP('Données projet'!$B$9,Paramètres!$A$1:$I$89,3,0)*VLOOKUP('Données projet'!$B$9,Paramètres!$A$1:$I$89,5,0)</f>
        <v>267.72095999999982</v>
      </c>
      <c r="P102" s="14">
        <f t="shared" si="87"/>
        <v>64.365361123519946</v>
      </c>
      <c r="Q102" s="22">
        <f t="shared" si="107"/>
        <v>578.38367595679699</v>
      </c>
      <c r="R102" s="60">
        <f t="shared" si="55"/>
        <v>871.71700929013036</v>
      </c>
      <c r="S102" s="60">
        <f ca="1">AVERAGE(OFFSET($R$3,0,0,'Données projet'!$E$9+1,1))-AVERAGE(OFFSET($H$3,0,0,'Données projet'!$E$9+1,1))</f>
        <v>456.86147223520601</v>
      </c>
      <c r="T102" s="60">
        <f t="shared" si="88"/>
        <v>244.45149244446094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2.5579538487363607E-13</v>
      </c>
      <c r="AJ102" s="14">
        <f>AI102*VLOOKUP('Données projet'!$B$10,Paramètres!$A$1:$I$89,3,0)*VLOOKUP('Données projet'!$B$10,Paramètres!$A$1:$I$89,5,0)</f>
        <v>1.6759713616920635E-13</v>
      </c>
      <c r="AK102" s="14">
        <f t="shared" si="89"/>
        <v>2.3709043131075133E-12</v>
      </c>
      <c r="AL102" s="22">
        <f t="shared" si="58"/>
        <v>4.4212233574902864E-12</v>
      </c>
      <c r="AM102" s="60">
        <f t="shared" si="59"/>
        <v>293.33333333333775</v>
      </c>
      <c r="AN102" s="60">
        <f ca="1">AVERAGE(OFFSET($AM$3,0,0,'Données projet'!$E$10+1,1))-AVERAGE(OFFSET($H$3,0,0,'Données projet'!$E$10+1,1))</f>
        <v>170.79567854714986</v>
      </c>
      <c r="AO102" s="60">
        <f t="shared" si="90"/>
        <v>155.92788004111191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-1.1368683772161603E-13</v>
      </c>
      <c r="BE102" s="14">
        <f>BD102*VLOOKUP('Données projet'!$B$11,Paramètres!$A$1:$I$89,3,0)*VLOOKUP('Données projet'!$B$11,Paramètres!$A$1:$I$89,5,0)</f>
        <v>-9.2222762759774927E-14</v>
      </c>
      <c r="BF102" s="14" t="e">
        <f t="shared" si="91"/>
        <v>#NUM!</v>
      </c>
      <c r="BG102" s="22" t="e">
        <f t="shared" si="61"/>
        <v>#NUM!</v>
      </c>
      <c r="BH102" s="60" t="e">
        <f t="shared" si="62"/>
        <v>#NUM!</v>
      </c>
      <c r="BI102" s="60">
        <f ca="1">AVERAGE(OFFSET($BH$3,0,0,'Données projet'!$E$11+1,1))-AVERAGE(OFFSET($H$3,0,0,'Données projet'!$E$11+1,1))</f>
        <v>256.19915261735281</v>
      </c>
      <c r="BJ102" s="60">
        <f t="shared" si="92"/>
        <v>297.47246687305056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3.2051282051281986</v>
      </c>
      <c r="BY102" s="13">
        <f>IF('Données projet'!$A$114&gt;35,BY101+BX102-CG101,IF(A102&lt;'Données projet'!$A$114,$BV$205^A102,IF(A102='Données projet'!$A$114,'Données projet'!$B$114,BY101+BX102-CG101)))</f>
        <v>223.07692307692307</v>
      </c>
      <c r="BZ102" s="14">
        <f>BY102*VLOOKUP('Données projet'!$B$12,Paramètres!$A$1:$I$89,3,0)*VLOOKUP('Données projet'!$B$12,Paramètres!$A$1:$I$89,5,0)</f>
        <v>212.28</v>
      </c>
      <c r="CA102" s="14">
        <f t="shared" si="93"/>
        <v>52.433509497939937</v>
      </c>
      <c r="CB102" s="22">
        <f t="shared" si="64"/>
        <v>461.04269570891194</v>
      </c>
      <c r="CC102" s="60">
        <f t="shared" si="65"/>
        <v>754.37602904224525</v>
      </c>
      <c r="CD102" s="60">
        <f ca="1">AVERAGE(OFFSET($CC$3,0,0,'Données projet'!$E$12+1,1))-AVERAGE(OFFSET($H$3,0,0,'Données projet'!$E$12+1,1))</f>
        <v>353.53401919391234</v>
      </c>
      <c r="CE102" s="60">
        <f t="shared" si="94"/>
        <v>244.7141066773861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4.7</v>
      </c>
      <c r="CT102" s="13">
        <f>IF('Données projet'!$A$140&gt;35,CT101+CS102-DB101,IF(A102&lt;'Données projet'!$A$140,$CQ$205^A102,IF(A102='Données projet'!$A$140,'Données projet'!$B$140,CT101+CS102-DB101)))</f>
        <v>276.79999999999978</v>
      </c>
      <c r="CU102" s="18">
        <f>CT102*VLOOKUP('Données projet'!$B$13,Paramètres!$A$1:$I$89,3,0)*VLOOKUP('Données projet'!$B$13,Paramètres!$A$1:$I$89,5,0)</f>
        <v>233.17631999999983</v>
      </c>
      <c r="CV102" s="14">
        <f t="shared" si="95"/>
        <v>56.968926984666723</v>
      </c>
      <c r="CW102" s="22">
        <f t="shared" si="67"/>
        <v>505.33630516496095</v>
      </c>
      <c r="CX102" s="60">
        <f t="shared" si="68"/>
        <v>798.66963849829426</v>
      </c>
      <c r="CY102" s="60">
        <f ca="1">AVERAGE(OFFSET($CX$3,0,0,'Données projet'!$E$13+1,1))-AVERAGE(OFFSET($H$3,0,0,'Données projet'!$E$13+1,1))</f>
        <v>403.33327536410098</v>
      </c>
      <c r="CZ102" s="60">
        <f t="shared" si="96"/>
        <v>218.26721063098552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3.4106051316484809E-13</v>
      </c>
      <c r="DP102" s="18">
        <f>DO102*VLOOKUP('Données projet'!$B$14,Paramètres!$A$1:$I$89,3,0)*VLOOKUP('Données projet'!$B$14,Paramètres!$A$1:$I$89,5,0)</f>
        <v>2.7134774427395314E-13</v>
      </c>
      <c r="DQ102" s="14">
        <f t="shared" si="97"/>
        <v>3.6292411711343559E-12</v>
      </c>
      <c r="DR102" s="22">
        <f t="shared" si="70"/>
        <v>6.7935256943361388E-12</v>
      </c>
      <c r="DS102" s="60">
        <f t="shared" si="71"/>
        <v>293.33333333334014</v>
      </c>
      <c r="DT102" s="60">
        <f ca="1">AVERAGE(OFFSET($DS$3,0,0,'Données projet'!$E$14+1,1))-AVERAGE(OFFSET($H$3,0,0,'Données projet'!$E$14+1,1))</f>
        <v>317.13087551964747</v>
      </c>
      <c r="DU102" s="60">
        <f t="shared" si="98"/>
        <v>293.43300041793185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1.7053025658242404E-13</v>
      </c>
      <c r="EK102" s="18">
        <f>EJ102*VLOOKUP('Données projet'!$B$15,Paramètres!$A$1:$I$89,3,0)*VLOOKUP('Données projet'!$B$15,Paramètres!$A$1:$I$89,5,0)</f>
        <v>1.3567387213697657E-13</v>
      </c>
      <c r="EL102" s="14">
        <f t="shared" si="99"/>
        <v>1.9670967679808581E-12</v>
      </c>
      <c r="EM102" s="22">
        <f t="shared" si="73"/>
        <v>3.6623255315385623E-12</v>
      </c>
      <c r="EN102" s="60">
        <f t="shared" si="74"/>
        <v>293.33333333333695</v>
      </c>
      <c r="EO102" s="60">
        <f ca="1">AVERAGE(OFFSET($EN$3,0,0,'Données projet'!$E$15+1,1))-AVERAGE(OFFSET($H$3,0,0,'Données projet'!$E$15+1,1))</f>
        <v>253.03289960511904</v>
      </c>
      <c r="EP102" s="60">
        <f t="shared" si="100"/>
        <v>236.85088713056018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1.7053025658242404E-13</v>
      </c>
      <c r="FF102" s="18">
        <f>FE102*VLOOKUP('Données projet'!$B$16,Paramètres!$A$1:$I$89,3,0)*VLOOKUP('Données projet'!$B$16,Paramètres!$A$1:$I$89,5,0)</f>
        <v>1.4897523215040567E-13</v>
      </c>
      <c r="FG102" s="14">
        <f t="shared" si="101"/>
        <v>2.136562777003313E-12</v>
      </c>
      <c r="FH102" s="22">
        <f t="shared" si="76"/>
        <v>3.9806453659427267E-12</v>
      </c>
      <c r="FI102" s="60">
        <f t="shared" si="77"/>
        <v>293.33333333333729</v>
      </c>
      <c r="FJ102" s="60">
        <f ca="1">AVERAGE(OFFSET($FI$3,0,0,'Données projet'!$E$16+1,1))-AVERAGE(OFFSET($H$3,0,0,'Données projet'!$E$16+1,1))</f>
        <v>274.38315511766132</v>
      </c>
      <c r="FK102" s="60">
        <f t="shared" si="102"/>
        <v>255.96663040027175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>
        <f>VLOOKUP(A102,'Données projet'!$A$243:$I$263,2,0)</f>
        <v>591</v>
      </c>
      <c r="FX102" s="13">
        <f>VLOOKUP(A102,'Données projet'!$A$243:$I$263,9,0)</f>
        <v>11.333333333333334</v>
      </c>
      <c r="FY102" s="13">
        <f t="array" ref="FY102">INDEX(FX:FX,MIN(IF(ISNUMBER(FX102:FX298),ROW(FX102:FX298),"")))</f>
        <v>11.333333333333334</v>
      </c>
      <c r="FZ102" s="13">
        <f>IF('Données projet'!$A$244&gt;35,FZ101+FY102-GH101,IF(A102&lt;'Données projet'!$A$244,$FW$205^A102,IF(A102='Données projet'!$A$244,'Données projet'!$B$244,FZ101+FY102-GH101)))</f>
        <v>590.99999999999989</v>
      </c>
      <c r="GA102" s="18">
        <f>FZ102*VLOOKUP('Données projet'!$B$17,Paramètres!$A$1:$I$89,3,0)*VLOOKUP('Données projet'!$B$17,Paramètres!$A$1:$I$89,5,0)</f>
        <v>507.07799999999997</v>
      </c>
      <c r="GB102" s="14">
        <f t="shared" si="103"/>
        <v>113.17646646969149</v>
      </c>
      <c r="GC102" s="22">
        <f t="shared" si="79"/>
        <v>1080.2765291013793</v>
      </c>
      <c r="GD102" s="60">
        <f t="shared" si="80"/>
        <v>1373.6098624347126</v>
      </c>
      <c r="GE102" s="60">
        <f ca="1">AVERAGE(OFFSET($GD$3,0,0,'Données projet'!$E$17+1,1))-AVERAGE(OFFSET($H$3,0,0,'Données projet'!$E$17+1,1))</f>
        <v>445.81166342116865</v>
      </c>
      <c r="GF102" s="60">
        <f t="shared" si="104"/>
        <v>230.82970731138215</v>
      </c>
      <c r="GG102" s="16">
        <f>IF(ISNA(VLOOKUP(A102,'Données projet'!$A$243:$I$263,3,0)),0,VLOOKUP(A102,'Données projet'!$A$243:$I$263,3,0))</f>
        <v>10</v>
      </c>
      <c r="GH102" s="16">
        <f>IF(ISNA(VLOOKUP(A102,'Données projet'!$A$243:$I$263,4,0)),0,VLOOKUP(A102,'Données projet'!$A$243:$I$263,4,0))</f>
        <v>591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5.6843418860808015E-14</v>
      </c>
      <c r="GV102" s="18">
        <f>GU102*VLOOKUP('Données projet'!$B$18,Paramètres!$A$1:$I$89,3,0)*VLOOKUP('Données projet'!$B$18,Paramètres!$A$1:$I$89,5,0)</f>
        <v>4.4337866711430253E-14</v>
      </c>
      <c r="GW102" s="14">
        <f t="shared" si="105"/>
        <v>7.3222115536967035E-13</v>
      </c>
      <c r="GX102" s="22">
        <f t="shared" si="82"/>
        <v>1.3525069634579169E-12</v>
      </c>
      <c r="GY102" s="60">
        <f t="shared" si="83"/>
        <v>293.33333333333468</v>
      </c>
      <c r="GZ102" s="60">
        <f ca="1">AVERAGE(OFFSET($GY$3,0,0,'Données projet'!$E$18+1,1))-AVERAGE(OFFSET($H$3,0,0,'Données projet'!$E$18+1,1))</f>
        <v>289.19475369871481</v>
      </c>
      <c r="HA102" s="60">
        <f t="shared" si="106"/>
        <v>283.48738729114024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projet'!$B$18,Paramètres!$A$1:$I$89,3,0)*0.475*44/12</f>
        <v>0</v>
      </c>
      <c r="HH102" s="23">
        <f>EXP(-LN(2)/25)*HH101+(1-EXP(-LN(2)/25))/(LN(2)/25)*Calculateur!HC102*Calculateur!HE102*VLOOKUP('Données projet'!$B$18,Paramètres!$A$1:$I$89,3,0)*0.475*44/12</f>
        <v>0</v>
      </c>
      <c r="HI102" s="23">
        <f>EXP(-LN(2)/2)*HI101+(1-EXP(-LN(2)/2))/(LN(2)/2)*HC102*HF102*VLOOKUP('Données projet'!$B$18,Paramètres!$A$1:$I$89,3,0)*0.475*44/12</f>
        <v>0</v>
      </c>
      <c r="HJ102" s="24">
        <f t="shared" si="84"/>
        <v>0</v>
      </c>
    </row>
    <row r="103" spans="1:218" s="5" customFormat="1" x14ac:dyDescent="0.3">
      <c r="A103" s="11">
        <f t="shared" si="85"/>
        <v>100</v>
      </c>
      <c r="B103" s="75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8">
        <f t="shared" si="56"/>
        <v>256.66666666666669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4.7</v>
      </c>
      <c r="N103" s="14">
        <f>IF('Données projet'!$A$36&gt;35,N102+M103-V102,IF(A103&lt;'Données projet'!$A$36,$K$205^A103,IF(A103='Données projet'!$A$36,'Données projet'!$B$36,N102+M103-V102)))</f>
        <v>281.49999999999977</v>
      </c>
      <c r="O103" s="14">
        <f>N103*VLOOKUP('Données projet'!$B$9,Paramètres!$A$1:$I$89,3,0)*VLOOKUP('Données projet'!$B$9,Paramètres!$A$1:$I$89,5,0)</f>
        <v>272.26679999999976</v>
      </c>
      <c r="P103" s="14">
        <f t="shared" si="87"/>
        <v>65.330107127057786</v>
      </c>
      <c r="Q103" s="22">
        <f t="shared" si="107"/>
        <v>587.98127991295848</v>
      </c>
      <c r="R103" s="60">
        <f t="shared" si="55"/>
        <v>881.31461324629186</v>
      </c>
      <c r="S103" s="60">
        <f ca="1">AVERAGE(OFFSET($R$3,0,0,'Données projet'!$E$9+1,1))-AVERAGE(OFFSET($H$3,0,0,'Données projet'!$E$9+1,1))</f>
        <v>456.86147223520601</v>
      </c>
      <c r="T103" s="60">
        <f t="shared" si="88"/>
        <v>244.45149244446094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2.5579538487363607E-13</v>
      </c>
      <c r="AJ103" s="14">
        <f>AI103*VLOOKUP('Données projet'!$B$10,Paramètres!$A$1:$I$89,3,0)*VLOOKUP('Données projet'!$B$10,Paramètres!$A$1:$I$89,5,0)</f>
        <v>1.6759713616920635E-13</v>
      </c>
      <c r="AK103" s="14">
        <f t="shared" si="89"/>
        <v>2.3709043131075133E-12</v>
      </c>
      <c r="AL103" s="22">
        <f t="shared" si="58"/>
        <v>4.4212233574902864E-12</v>
      </c>
      <c r="AM103" s="60">
        <f t="shared" si="59"/>
        <v>293.33333333333775</v>
      </c>
      <c r="AN103" s="60">
        <f ca="1">AVERAGE(OFFSET($AM$3,0,0,'Données projet'!$E$10+1,1))-AVERAGE(OFFSET($H$3,0,0,'Données projet'!$E$10+1,1))</f>
        <v>170.79567854714986</v>
      </c>
      <c r="AO103" s="60">
        <f t="shared" si="90"/>
        <v>155.92788004111191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-1.1368683772161603E-13</v>
      </c>
      <c r="BE103" s="14">
        <f>BD103*VLOOKUP('Données projet'!$B$11,Paramètres!$A$1:$I$89,3,0)*VLOOKUP('Données projet'!$B$11,Paramètres!$A$1:$I$89,5,0)</f>
        <v>-9.2222762759774927E-14</v>
      </c>
      <c r="BF103" s="14" t="e">
        <f t="shared" si="91"/>
        <v>#NUM!</v>
      </c>
      <c r="BG103" s="22" t="e">
        <f t="shared" si="61"/>
        <v>#NUM!</v>
      </c>
      <c r="BH103" s="60" t="e">
        <f t="shared" si="62"/>
        <v>#NUM!</v>
      </c>
      <c r="BI103" s="60">
        <f ca="1">AVERAGE(OFFSET($BH$3,0,0,'Données projet'!$E$11+1,1))-AVERAGE(OFFSET($H$3,0,0,'Données projet'!$E$11+1,1))</f>
        <v>256.19915261735281</v>
      </c>
      <c r="BJ103" s="60">
        <f t="shared" si="92"/>
        <v>297.47246687305056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226.28205128205127</v>
      </c>
      <c r="BW103" s="13">
        <f>VLOOKUP(A103,'Données projet'!$A$113:$I$133,9,0)</f>
        <v>3.2051282051281986</v>
      </c>
      <c r="BX103" s="13">
        <f t="array" ref="BX103">INDEX(BW:BW,MIN(IF(ISNUMBER(BW103:BW299),ROW(BW103:BW299),"")))</f>
        <v>3.2051282051281986</v>
      </c>
      <c r="BY103" s="13">
        <f>IF('Données projet'!$A$114&gt;35,BY102+BX103-CG102,IF(A103&lt;'Données projet'!$A$114,$BV$205^A103,IF(A103='Données projet'!$A$114,'Données projet'!$B$114,BY102+BX103-CG102)))</f>
        <v>226.28205128205127</v>
      </c>
      <c r="BZ103" s="14">
        <f>BY103*VLOOKUP('Données projet'!$B$12,Paramètres!$A$1:$I$89,3,0)*VLOOKUP('Données projet'!$B$12,Paramètres!$A$1:$I$89,5,0)</f>
        <v>215.32999999999998</v>
      </c>
      <c r="CA103" s="14">
        <f t="shared" si="93"/>
        <v>53.098620315464494</v>
      </c>
      <c r="CB103" s="22">
        <f t="shared" si="64"/>
        <v>467.51318038276719</v>
      </c>
      <c r="CC103" s="60">
        <f t="shared" si="65"/>
        <v>760.8465137161005</v>
      </c>
      <c r="CD103" s="60">
        <f ca="1">AVERAGE(OFFSET($CC$3,0,0,'Données projet'!$E$12+1,1))-AVERAGE(OFFSET($H$3,0,0,'Données projet'!$E$12+1,1))</f>
        <v>353.53401919391234</v>
      </c>
      <c r="CE103" s="60">
        <f t="shared" si="94"/>
        <v>244.7141066773861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4.7</v>
      </c>
      <c r="CT103" s="13">
        <f>IF('Données projet'!$A$140&gt;35,CT102+CS103-DB102,IF(A103&lt;'Données projet'!$A$140,$CQ$205^A103,IF(A103='Données projet'!$A$140,'Données projet'!$B$140,CT102+CS103-DB102)))</f>
        <v>281.49999999999977</v>
      </c>
      <c r="CU103" s="18">
        <f>CT103*VLOOKUP('Données projet'!$B$13,Paramètres!$A$1:$I$89,3,0)*VLOOKUP('Données projet'!$B$13,Paramètres!$A$1:$I$89,5,0)</f>
        <v>237.13559999999981</v>
      </c>
      <c r="CV103" s="14">
        <f t="shared" si="95"/>
        <v>57.822810869957614</v>
      </c>
      <c r="CW103" s="22">
        <f t="shared" si="67"/>
        <v>513.71923226517583</v>
      </c>
      <c r="CX103" s="60">
        <f t="shared" si="68"/>
        <v>807.05256559850909</v>
      </c>
      <c r="CY103" s="60">
        <f ca="1">AVERAGE(OFFSET($CX$3,0,0,'Données projet'!$E$13+1,1))-AVERAGE(OFFSET($H$3,0,0,'Données projet'!$E$13+1,1))</f>
        <v>403.33327536410098</v>
      </c>
      <c r="CZ103" s="60">
        <f t="shared" si="96"/>
        <v>218.26721063098552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3.4106051316484809E-13</v>
      </c>
      <c r="DP103" s="18">
        <f>DO103*VLOOKUP('Données projet'!$B$14,Paramètres!$A$1:$I$89,3,0)*VLOOKUP('Données projet'!$B$14,Paramètres!$A$1:$I$89,5,0)</f>
        <v>2.7134774427395314E-13</v>
      </c>
      <c r="DQ103" s="14">
        <f t="shared" si="97"/>
        <v>3.6292411711343559E-12</v>
      </c>
      <c r="DR103" s="22">
        <f t="shared" si="70"/>
        <v>6.7935256943361388E-12</v>
      </c>
      <c r="DS103" s="60">
        <f t="shared" si="71"/>
        <v>293.33333333334014</v>
      </c>
      <c r="DT103" s="60">
        <f ca="1">AVERAGE(OFFSET($DS$3,0,0,'Données projet'!$E$14+1,1))-AVERAGE(OFFSET($H$3,0,0,'Données projet'!$E$14+1,1))</f>
        <v>317.13087551964747</v>
      </c>
      <c r="DU103" s="60">
        <f t="shared" si="98"/>
        <v>293.43300041793185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1.7053025658242404E-13</v>
      </c>
      <c r="EK103" s="18">
        <f>EJ103*VLOOKUP('Données projet'!$B$15,Paramètres!$A$1:$I$89,3,0)*VLOOKUP('Données projet'!$B$15,Paramètres!$A$1:$I$89,5,0)</f>
        <v>1.3567387213697657E-13</v>
      </c>
      <c r="EL103" s="14">
        <f t="shared" si="99"/>
        <v>1.9670967679808581E-12</v>
      </c>
      <c r="EM103" s="22">
        <f t="shared" si="73"/>
        <v>3.6623255315385623E-12</v>
      </c>
      <c r="EN103" s="60">
        <f t="shared" si="74"/>
        <v>293.33333333333695</v>
      </c>
      <c r="EO103" s="60">
        <f ca="1">AVERAGE(OFFSET($EN$3,0,0,'Données projet'!$E$15+1,1))-AVERAGE(OFFSET($H$3,0,0,'Données projet'!$E$15+1,1))</f>
        <v>253.03289960511904</v>
      </c>
      <c r="EP103" s="60">
        <f t="shared" si="100"/>
        <v>236.85088713056018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1.7053025658242404E-13</v>
      </c>
      <c r="FF103" s="18">
        <f>FE103*VLOOKUP('Données projet'!$B$16,Paramètres!$A$1:$I$89,3,0)*VLOOKUP('Données projet'!$B$16,Paramètres!$A$1:$I$89,5,0)</f>
        <v>1.4897523215040567E-13</v>
      </c>
      <c r="FG103" s="14">
        <f t="shared" si="101"/>
        <v>2.136562777003313E-12</v>
      </c>
      <c r="FH103" s="22">
        <f t="shared" si="76"/>
        <v>3.9806453659427267E-12</v>
      </c>
      <c r="FI103" s="60">
        <f t="shared" si="77"/>
        <v>293.33333333333729</v>
      </c>
      <c r="FJ103" s="60">
        <f ca="1">AVERAGE(OFFSET($FI$3,0,0,'Données projet'!$E$16+1,1))-AVERAGE(OFFSET($H$3,0,0,'Données projet'!$E$16+1,1))</f>
        <v>274.38315511766132</v>
      </c>
      <c r="FK103" s="60">
        <f t="shared" si="102"/>
        <v>255.96663040027175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-1.1368683772161603E-13</v>
      </c>
      <c r="GA103" s="18">
        <f>FZ103*VLOOKUP('Données projet'!$B$17,Paramètres!$A$1:$I$89,3,0)*VLOOKUP('Données projet'!$B$17,Paramètres!$A$1:$I$89,5,0)</f>
        <v>-9.7543306765146564E-14</v>
      </c>
      <c r="GB103" s="14" t="e">
        <f t="shared" si="103"/>
        <v>#NUM!</v>
      </c>
      <c r="GC103" s="22" t="e">
        <f t="shared" si="79"/>
        <v>#NUM!</v>
      </c>
      <c r="GD103" s="60" t="e">
        <f t="shared" si="80"/>
        <v>#NUM!</v>
      </c>
      <c r="GE103" s="60">
        <f ca="1">AVERAGE(OFFSET($GD$3,0,0,'Données projet'!$E$17+1,1))-AVERAGE(OFFSET($H$3,0,0,'Données projet'!$E$17+1,1))</f>
        <v>445.81166342116865</v>
      </c>
      <c r="GF103" s="60">
        <f t="shared" si="104"/>
        <v>230.82970731138215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5.6843418860808015E-14</v>
      </c>
      <c r="GV103" s="18">
        <f>GU103*VLOOKUP('Données projet'!$B$18,Paramètres!$A$1:$I$89,3,0)*VLOOKUP('Données projet'!$B$18,Paramètres!$A$1:$I$89,5,0)</f>
        <v>4.4337866711430253E-14</v>
      </c>
      <c r="GW103" s="14">
        <f t="shared" si="105"/>
        <v>7.3222115536967035E-13</v>
      </c>
      <c r="GX103" s="22">
        <f t="shared" si="82"/>
        <v>1.3525069634579169E-12</v>
      </c>
      <c r="GY103" s="60">
        <f t="shared" si="83"/>
        <v>293.33333333333468</v>
      </c>
      <c r="GZ103" s="60">
        <f ca="1">AVERAGE(OFFSET($GY$3,0,0,'Données projet'!$E$18+1,1))-AVERAGE(OFFSET($H$3,0,0,'Données projet'!$E$18+1,1))</f>
        <v>289.19475369871481</v>
      </c>
      <c r="HA103" s="60">
        <f t="shared" si="106"/>
        <v>283.48738729114024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projet'!$B$18,Paramètres!$A$1:$I$89,3,0)*0.475*44/12</f>
        <v>0</v>
      </c>
      <c r="HH103" s="23">
        <f>EXP(-LN(2)/25)*HH102+(1-EXP(-LN(2)/25))/(LN(2)/25)*Calculateur!HC103*Calculateur!HE103*VLOOKUP('Données projet'!$B$18,Paramètres!$A$1:$I$89,3,0)*0.475*44/12</f>
        <v>0</v>
      </c>
      <c r="HI103" s="23">
        <f>EXP(-LN(2)/2)*HI102+(1-EXP(-LN(2)/2))/(LN(2)/2)*HC103*HF103*VLOOKUP('Données projet'!$B$18,Paramètres!$A$1:$I$89,3,0)*0.475*44/12</f>
        <v>0</v>
      </c>
      <c r="HJ103" s="24">
        <f t="shared" si="84"/>
        <v>0</v>
      </c>
    </row>
    <row r="104" spans="1:218" s="5" customFormat="1" x14ac:dyDescent="0.3">
      <c r="A104" s="11">
        <f t="shared" si="85"/>
        <v>101</v>
      </c>
      <c r="B104" s="75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8">
        <f t="shared" si="56"/>
        <v>256.66666666666669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4.7</v>
      </c>
      <c r="N104" s="14">
        <f>IF('Données projet'!$A$36&gt;35,N103+M104-V103,IF(A104&lt;'Données projet'!$A$36,$K$205^A104,IF(A104='Données projet'!$A$36,'Données projet'!$B$36,N103+M104-V103)))</f>
        <v>286.19999999999976</v>
      </c>
      <c r="O104" s="14">
        <f>N104*VLOOKUP('Données projet'!$B$9,Paramètres!$A$1:$I$89,3,0)*VLOOKUP('Données projet'!$B$9,Paramètres!$A$1:$I$89,5,0)</f>
        <v>276.81263999999976</v>
      </c>
      <c r="P104" s="14">
        <f t="shared" si="87"/>
        <v>66.292979927723621</v>
      </c>
      <c r="Q104" s="22">
        <f t="shared" si="107"/>
        <v>597.57562137411821</v>
      </c>
      <c r="R104" s="60">
        <f t="shared" si="55"/>
        <v>890.90895470745158</v>
      </c>
      <c r="S104" s="60">
        <f ca="1">AVERAGE(OFFSET($R$3,0,0,'Données projet'!$E$9+1,1))-AVERAGE(OFFSET($H$3,0,0,'Données projet'!$E$9+1,1))</f>
        <v>456.86147223520601</v>
      </c>
      <c r="T104" s="60">
        <f t="shared" si="88"/>
        <v>244.45149244446094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2.5579538487363607E-13</v>
      </c>
      <c r="AJ104" s="14">
        <f>AI104*VLOOKUP('Données projet'!$B$10,Paramètres!$A$1:$I$89,3,0)*VLOOKUP('Données projet'!$B$10,Paramètres!$A$1:$I$89,5,0)</f>
        <v>1.6759713616920635E-13</v>
      </c>
      <c r="AK104" s="14">
        <f t="shared" si="89"/>
        <v>2.3709043131075133E-12</v>
      </c>
      <c r="AL104" s="22">
        <f t="shared" si="58"/>
        <v>4.4212233574902864E-12</v>
      </c>
      <c r="AM104" s="60">
        <f t="shared" si="59"/>
        <v>293.33333333333775</v>
      </c>
      <c r="AN104" s="60">
        <f ca="1">AVERAGE(OFFSET($AM$3,0,0,'Données projet'!$E$10+1,1))-AVERAGE(OFFSET($H$3,0,0,'Données projet'!$E$10+1,1))</f>
        <v>170.79567854714986</v>
      </c>
      <c r="AO104" s="60">
        <f t="shared" si="90"/>
        <v>155.92788004111191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-1.1368683772161603E-13</v>
      </c>
      <c r="BE104" s="14">
        <f>BD104*VLOOKUP('Données projet'!$B$11,Paramètres!$A$1:$I$89,3,0)*VLOOKUP('Données projet'!$B$11,Paramètres!$A$1:$I$89,5,0)</f>
        <v>-9.2222762759774927E-14</v>
      </c>
      <c r="BF104" s="14" t="e">
        <f t="shared" si="91"/>
        <v>#NUM!</v>
      </c>
      <c r="BG104" s="22" t="e">
        <f t="shared" si="61"/>
        <v>#NUM!</v>
      </c>
      <c r="BH104" s="60" t="e">
        <f t="shared" si="62"/>
        <v>#NUM!</v>
      </c>
      <c r="BI104" s="60">
        <f ca="1">AVERAGE(OFFSET($BH$3,0,0,'Données projet'!$E$11+1,1))-AVERAGE(OFFSET($H$3,0,0,'Données projet'!$E$11+1,1))</f>
        <v>256.19915261735281</v>
      </c>
      <c r="BJ104" s="60">
        <f t="shared" si="92"/>
        <v>297.47246687305056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3.2051282051282044</v>
      </c>
      <c r="BY104" s="13">
        <f>IF('Données projet'!$A$114&gt;35,BY103+BX104-CG103,IF(A104&lt;'Données projet'!$A$114,$BV$205^A104,IF(A104='Données projet'!$A$114,'Données projet'!$B$114,BY103+BX104-CG103)))</f>
        <v>229.48717948717947</v>
      </c>
      <c r="BZ104" s="14">
        <f>BY104*VLOOKUP('Données projet'!$B$12,Paramètres!$A$1:$I$89,3,0)*VLOOKUP('Données projet'!$B$12,Paramètres!$A$1:$I$89,5,0)</f>
        <v>218.38</v>
      </c>
      <c r="CA104" s="14">
        <f t="shared" si="93"/>
        <v>53.762635412761199</v>
      </c>
      <c r="CB104" s="22">
        <f t="shared" si="64"/>
        <v>473.98175667722563</v>
      </c>
      <c r="CC104" s="60">
        <f t="shared" si="65"/>
        <v>767.31509001055895</v>
      </c>
      <c r="CD104" s="60">
        <f ca="1">AVERAGE(OFFSET($CC$3,0,0,'Données projet'!$E$12+1,1))-AVERAGE(OFFSET($H$3,0,0,'Données projet'!$E$12+1,1))</f>
        <v>353.53401919391234</v>
      </c>
      <c r="CE104" s="60">
        <f t="shared" si="94"/>
        <v>244.7141066773861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4.7</v>
      </c>
      <c r="CT104" s="13">
        <f>IF('Données projet'!$A$140&gt;35,CT103+CS104-DB103,IF(A104&lt;'Données projet'!$A$140,$CQ$205^A104,IF(A104='Données projet'!$A$140,'Données projet'!$B$140,CT103+CS104-DB103)))</f>
        <v>286.19999999999976</v>
      </c>
      <c r="CU104" s="18">
        <f>CT104*VLOOKUP('Données projet'!$B$13,Paramètres!$A$1:$I$89,3,0)*VLOOKUP('Données projet'!$B$13,Paramètres!$A$1:$I$89,5,0)</f>
        <v>241.09487999999985</v>
      </c>
      <c r="CV104" s="14">
        <f t="shared" si="95"/>
        <v>58.675036808244307</v>
      </c>
      <c r="CW104" s="22">
        <f t="shared" si="67"/>
        <v>522.0992717743585</v>
      </c>
      <c r="CX104" s="60">
        <f t="shared" si="68"/>
        <v>815.43260510769187</v>
      </c>
      <c r="CY104" s="60">
        <f ca="1">AVERAGE(OFFSET($CX$3,0,0,'Données projet'!$E$13+1,1))-AVERAGE(OFFSET($H$3,0,0,'Données projet'!$E$13+1,1))</f>
        <v>403.33327536410098</v>
      </c>
      <c r="CZ104" s="60">
        <f t="shared" si="96"/>
        <v>218.26721063098552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3.4106051316484809E-13</v>
      </c>
      <c r="DP104" s="18">
        <f>DO104*VLOOKUP('Données projet'!$B$14,Paramètres!$A$1:$I$89,3,0)*VLOOKUP('Données projet'!$B$14,Paramètres!$A$1:$I$89,5,0)</f>
        <v>2.7134774427395314E-13</v>
      </c>
      <c r="DQ104" s="14">
        <f t="shared" si="97"/>
        <v>3.6292411711343559E-12</v>
      </c>
      <c r="DR104" s="22">
        <f t="shared" si="70"/>
        <v>6.7935256943361388E-12</v>
      </c>
      <c r="DS104" s="60">
        <f t="shared" si="71"/>
        <v>293.33333333334014</v>
      </c>
      <c r="DT104" s="60">
        <f ca="1">AVERAGE(OFFSET($DS$3,0,0,'Données projet'!$E$14+1,1))-AVERAGE(OFFSET($H$3,0,0,'Données projet'!$E$14+1,1))</f>
        <v>317.13087551964747</v>
      </c>
      <c r="DU104" s="60">
        <f t="shared" si="98"/>
        <v>293.43300041793185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1.7053025658242404E-13</v>
      </c>
      <c r="EK104" s="18">
        <f>EJ104*VLOOKUP('Données projet'!$B$15,Paramètres!$A$1:$I$89,3,0)*VLOOKUP('Données projet'!$B$15,Paramètres!$A$1:$I$89,5,0)</f>
        <v>1.3567387213697657E-13</v>
      </c>
      <c r="EL104" s="14">
        <f t="shared" si="99"/>
        <v>1.9670967679808581E-12</v>
      </c>
      <c r="EM104" s="22">
        <f t="shared" si="73"/>
        <v>3.6623255315385623E-12</v>
      </c>
      <c r="EN104" s="60">
        <f t="shared" si="74"/>
        <v>293.33333333333695</v>
      </c>
      <c r="EO104" s="60">
        <f ca="1">AVERAGE(OFFSET($EN$3,0,0,'Données projet'!$E$15+1,1))-AVERAGE(OFFSET($H$3,0,0,'Données projet'!$E$15+1,1))</f>
        <v>253.03289960511904</v>
      </c>
      <c r="EP104" s="60">
        <f t="shared" si="100"/>
        <v>236.85088713056018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1.7053025658242404E-13</v>
      </c>
      <c r="FF104" s="18">
        <f>FE104*VLOOKUP('Données projet'!$B$16,Paramètres!$A$1:$I$89,3,0)*VLOOKUP('Données projet'!$B$16,Paramètres!$A$1:$I$89,5,0)</f>
        <v>1.4897523215040567E-13</v>
      </c>
      <c r="FG104" s="14">
        <f t="shared" si="101"/>
        <v>2.136562777003313E-12</v>
      </c>
      <c r="FH104" s="22">
        <f t="shared" si="76"/>
        <v>3.9806453659427267E-12</v>
      </c>
      <c r="FI104" s="60">
        <f t="shared" si="77"/>
        <v>293.33333333333729</v>
      </c>
      <c r="FJ104" s="60">
        <f ca="1">AVERAGE(OFFSET($FI$3,0,0,'Données projet'!$E$16+1,1))-AVERAGE(OFFSET($H$3,0,0,'Données projet'!$E$16+1,1))</f>
        <v>274.38315511766132</v>
      </c>
      <c r="FK104" s="60">
        <f t="shared" si="102"/>
        <v>255.96663040027175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-1.1368683772161603E-13</v>
      </c>
      <c r="GA104" s="18">
        <f>FZ104*VLOOKUP('Données projet'!$B$17,Paramètres!$A$1:$I$89,3,0)*VLOOKUP('Données projet'!$B$17,Paramètres!$A$1:$I$89,5,0)</f>
        <v>-9.7543306765146564E-14</v>
      </c>
      <c r="GB104" s="14" t="e">
        <f t="shared" si="103"/>
        <v>#NUM!</v>
      </c>
      <c r="GC104" s="22" t="e">
        <f t="shared" si="79"/>
        <v>#NUM!</v>
      </c>
      <c r="GD104" s="60" t="e">
        <f t="shared" si="80"/>
        <v>#NUM!</v>
      </c>
      <c r="GE104" s="60">
        <f ca="1">AVERAGE(OFFSET($GD$3,0,0,'Données projet'!$E$17+1,1))-AVERAGE(OFFSET($H$3,0,0,'Données projet'!$E$17+1,1))</f>
        <v>445.81166342116865</v>
      </c>
      <c r="GF104" s="60">
        <f t="shared" si="104"/>
        <v>230.82970731138215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5.6843418860808015E-14</v>
      </c>
      <c r="GV104" s="18">
        <f>GU104*VLOOKUP('Données projet'!$B$18,Paramètres!$A$1:$I$89,3,0)*VLOOKUP('Données projet'!$B$18,Paramètres!$A$1:$I$89,5,0)</f>
        <v>4.4337866711430253E-14</v>
      </c>
      <c r="GW104" s="14">
        <f t="shared" si="105"/>
        <v>7.3222115536967035E-13</v>
      </c>
      <c r="GX104" s="22">
        <f t="shared" si="82"/>
        <v>1.3525069634579169E-12</v>
      </c>
      <c r="GY104" s="60">
        <f t="shared" si="83"/>
        <v>293.33333333333468</v>
      </c>
      <c r="GZ104" s="60">
        <f ca="1">AVERAGE(OFFSET($GY$3,0,0,'Données projet'!$E$18+1,1))-AVERAGE(OFFSET($H$3,0,0,'Données projet'!$E$18+1,1))</f>
        <v>289.19475369871481</v>
      </c>
      <c r="HA104" s="60">
        <f t="shared" si="106"/>
        <v>283.48738729114024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projet'!$B$18,Paramètres!$A$1:$I$89,3,0)*0.475*44/12</f>
        <v>0</v>
      </c>
      <c r="HH104" s="23">
        <f>EXP(-LN(2)/25)*HH103+(1-EXP(-LN(2)/25))/(LN(2)/25)*Calculateur!HC104*Calculateur!HE104*VLOOKUP('Données projet'!$B$18,Paramètres!$A$1:$I$89,3,0)*0.475*44/12</f>
        <v>0</v>
      </c>
      <c r="HI104" s="23">
        <f>EXP(-LN(2)/2)*HI103+(1-EXP(-LN(2)/2))/(LN(2)/2)*HC104*HF104*VLOOKUP('Données projet'!$B$18,Paramètres!$A$1:$I$89,3,0)*0.475*44/12</f>
        <v>0</v>
      </c>
      <c r="HJ104" s="24">
        <f t="shared" si="84"/>
        <v>0</v>
      </c>
    </row>
    <row r="105" spans="1:218" s="5" customFormat="1" x14ac:dyDescent="0.3">
      <c r="A105" s="11">
        <f t="shared" si="85"/>
        <v>102</v>
      </c>
      <c r="B105" s="75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8">
        <f t="shared" si="56"/>
        <v>256.66666666666669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4.7</v>
      </c>
      <c r="N105" s="14">
        <f>IF('Données projet'!$A$36&gt;35,N104+M105-V104,IF(A105&lt;'Données projet'!$A$36,$K$205^A105,IF(A105='Données projet'!$A$36,'Données projet'!$B$36,N104+M105-V104)))</f>
        <v>290.89999999999975</v>
      </c>
      <c r="O105" s="14">
        <f>N105*VLOOKUP('Données projet'!$B$9,Paramètres!$A$1:$I$89,3,0)*VLOOKUP('Données projet'!$B$9,Paramètres!$A$1:$I$89,5,0)</f>
        <v>281.35847999999976</v>
      </c>
      <c r="P105" s="14">
        <f t="shared" si="87"/>
        <v>67.254013838398748</v>
      </c>
      <c r="Q105" s="22">
        <f t="shared" si="107"/>
        <v>607.16676010187734</v>
      </c>
      <c r="R105" s="60">
        <f t="shared" si="55"/>
        <v>900.5000934352106</v>
      </c>
      <c r="S105" s="60">
        <f ca="1">AVERAGE(OFFSET($R$3,0,0,'Données projet'!$E$9+1,1))-AVERAGE(OFFSET($H$3,0,0,'Données projet'!$E$9+1,1))</f>
        <v>456.86147223520601</v>
      </c>
      <c r="T105" s="60">
        <f t="shared" si="88"/>
        <v>244.45149244446094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2.5579538487363607E-13</v>
      </c>
      <c r="AJ105" s="14">
        <f>AI105*VLOOKUP('Données projet'!$B$10,Paramètres!$A$1:$I$89,3,0)*VLOOKUP('Données projet'!$B$10,Paramètres!$A$1:$I$89,5,0)</f>
        <v>1.6759713616920635E-13</v>
      </c>
      <c r="AK105" s="14">
        <f t="shared" si="89"/>
        <v>2.3709043131075133E-12</v>
      </c>
      <c r="AL105" s="22">
        <f t="shared" si="58"/>
        <v>4.4212233574902864E-12</v>
      </c>
      <c r="AM105" s="60">
        <f t="shared" si="59"/>
        <v>293.33333333333775</v>
      </c>
      <c r="AN105" s="60">
        <f ca="1">AVERAGE(OFFSET($AM$3,0,0,'Données projet'!$E$10+1,1))-AVERAGE(OFFSET($H$3,0,0,'Données projet'!$E$10+1,1))</f>
        <v>170.79567854714986</v>
      </c>
      <c r="AO105" s="60">
        <f t="shared" si="90"/>
        <v>155.92788004111191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-1.1368683772161603E-13</v>
      </c>
      <c r="BE105" s="14">
        <f>BD105*VLOOKUP('Données projet'!$B$11,Paramètres!$A$1:$I$89,3,0)*VLOOKUP('Données projet'!$B$11,Paramètres!$A$1:$I$89,5,0)</f>
        <v>-9.2222762759774927E-14</v>
      </c>
      <c r="BF105" s="14" t="e">
        <f t="shared" si="91"/>
        <v>#NUM!</v>
      </c>
      <c r="BG105" s="22" t="e">
        <f t="shared" si="61"/>
        <v>#NUM!</v>
      </c>
      <c r="BH105" s="60" t="e">
        <f t="shared" si="62"/>
        <v>#NUM!</v>
      </c>
      <c r="BI105" s="60">
        <f ca="1">AVERAGE(OFFSET($BH$3,0,0,'Données projet'!$E$11+1,1))-AVERAGE(OFFSET($H$3,0,0,'Données projet'!$E$11+1,1))</f>
        <v>256.19915261735281</v>
      </c>
      <c r="BJ105" s="60">
        <f t="shared" si="92"/>
        <v>297.47246687305056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3.2051282051282044</v>
      </c>
      <c r="BY105" s="13">
        <f>IF('Données projet'!$A$114&gt;35,BY104+BX105-CG104,IF(A105&lt;'Données projet'!$A$114,$BV$205^A105,IF(A105='Données projet'!$A$114,'Données projet'!$B$114,BY104+BX105-CG104)))</f>
        <v>232.69230769230768</v>
      </c>
      <c r="BZ105" s="14">
        <f>BY105*VLOOKUP('Données projet'!$B$12,Paramètres!$A$1:$I$89,3,0)*VLOOKUP('Données projet'!$B$12,Paramètres!$A$1:$I$89,5,0)</f>
        <v>221.42999999999998</v>
      </c>
      <c r="CA105" s="14">
        <f t="shared" si="93"/>
        <v>54.425571861733111</v>
      </c>
      <c r="CB105" s="22">
        <f t="shared" si="64"/>
        <v>480.4484543258518</v>
      </c>
      <c r="CC105" s="60">
        <f t="shared" si="65"/>
        <v>773.78178765918506</v>
      </c>
      <c r="CD105" s="60">
        <f ca="1">AVERAGE(OFFSET($CC$3,0,0,'Données projet'!$E$12+1,1))-AVERAGE(OFFSET($H$3,0,0,'Données projet'!$E$12+1,1))</f>
        <v>353.53401919391234</v>
      </c>
      <c r="CE105" s="60">
        <f t="shared" si="94"/>
        <v>244.7141066773861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4.7</v>
      </c>
      <c r="CT105" s="13">
        <f>IF('Données projet'!$A$140&gt;35,CT104+CS105-DB104,IF(A105&lt;'Données projet'!$A$140,$CQ$205^A105,IF(A105='Données projet'!$A$140,'Données projet'!$B$140,CT104+CS105-DB104)))</f>
        <v>290.89999999999975</v>
      </c>
      <c r="CU105" s="18">
        <f>CT105*VLOOKUP('Données projet'!$B$13,Paramètres!$A$1:$I$89,3,0)*VLOOKUP('Données projet'!$B$13,Paramètres!$A$1:$I$89,5,0)</f>
        <v>245.0541599999998</v>
      </c>
      <c r="CV105" s="14">
        <f t="shared" si="95"/>
        <v>59.525635169402783</v>
      </c>
      <c r="CW105" s="22">
        <f t="shared" si="67"/>
        <v>530.47647658670951</v>
      </c>
      <c r="CX105" s="60">
        <f t="shared" si="68"/>
        <v>823.80980992004288</v>
      </c>
      <c r="CY105" s="60">
        <f ca="1">AVERAGE(OFFSET($CX$3,0,0,'Données projet'!$E$13+1,1))-AVERAGE(OFFSET($H$3,0,0,'Données projet'!$E$13+1,1))</f>
        <v>403.33327536410098</v>
      </c>
      <c r="CZ105" s="60">
        <f t="shared" si="96"/>
        <v>218.26721063098552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3.4106051316484809E-13</v>
      </c>
      <c r="DP105" s="18">
        <f>DO105*VLOOKUP('Données projet'!$B$14,Paramètres!$A$1:$I$89,3,0)*VLOOKUP('Données projet'!$B$14,Paramètres!$A$1:$I$89,5,0)</f>
        <v>2.7134774427395314E-13</v>
      </c>
      <c r="DQ105" s="14">
        <f t="shared" si="97"/>
        <v>3.6292411711343559E-12</v>
      </c>
      <c r="DR105" s="22">
        <f t="shared" si="70"/>
        <v>6.7935256943361388E-12</v>
      </c>
      <c r="DS105" s="60">
        <f t="shared" si="71"/>
        <v>293.33333333334014</v>
      </c>
      <c r="DT105" s="60">
        <f ca="1">AVERAGE(OFFSET($DS$3,0,0,'Données projet'!$E$14+1,1))-AVERAGE(OFFSET($H$3,0,0,'Données projet'!$E$14+1,1))</f>
        <v>317.13087551964747</v>
      </c>
      <c r="DU105" s="60">
        <f t="shared" si="98"/>
        <v>293.43300041793185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1.7053025658242404E-13</v>
      </c>
      <c r="EK105" s="18">
        <f>EJ105*VLOOKUP('Données projet'!$B$15,Paramètres!$A$1:$I$89,3,0)*VLOOKUP('Données projet'!$B$15,Paramètres!$A$1:$I$89,5,0)</f>
        <v>1.3567387213697657E-13</v>
      </c>
      <c r="EL105" s="14">
        <f t="shared" si="99"/>
        <v>1.9670967679808581E-12</v>
      </c>
      <c r="EM105" s="22">
        <f t="shared" si="73"/>
        <v>3.6623255315385623E-12</v>
      </c>
      <c r="EN105" s="60">
        <f t="shared" si="74"/>
        <v>293.33333333333695</v>
      </c>
      <c r="EO105" s="60">
        <f ca="1">AVERAGE(OFFSET($EN$3,0,0,'Données projet'!$E$15+1,1))-AVERAGE(OFFSET($H$3,0,0,'Données projet'!$E$15+1,1))</f>
        <v>253.03289960511904</v>
      </c>
      <c r="EP105" s="60">
        <f t="shared" si="100"/>
        <v>236.85088713056018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1.7053025658242404E-13</v>
      </c>
      <c r="FF105" s="18">
        <f>FE105*VLOOKUP('Données projet'!$B$16,Paramètres!$A$1:$I$89,3,0)*VLOOKUP('Données projet'!$B$16,Paramètres!$A$1:$I$89,5,0)</f>
        <v>1.4897523215040567E-13</v>
      </c>
      <c r="FG105" s="14">
        <f t="shared" si="101"/>
        <v>2.136562777003313E-12</v>
      </c>
      <c r="FH105" s="22">
        <f t="shared" si="76"/>
        <v>3.9806453659427267E-12</v>
      </c>
      <c r="FI105" s="60">
        <f t="shared" si="77"/>
        <v>293.33333333333729</v>
      </c>
      <c r="FJ105" s="60">
        <f ca="1">AVERAGE(OFFSET($FI$3,0,0,'Données projet'!$E$16+1,1))-AVERAGE(OFFSET($H$3,0,0,'Données projet'!$E$16+1,1))</f>
        <v>274.38315511766132</v>
      </c>
      <c r="FK105" s="60">
        <f t="shared" si="102"/>
        <v>255.96663040027175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-1.1368683772161603E-13</v>
      </c>
      <c r="GA105" s="18">
        <f>FZ105*VLOOKUP('Données projet'!$B$17,Paramètres!$A$1:$I$89,3,0)*VLOOKUP('Données projet'!$B$17,Paramètres!$A$1:$I$89,5,0)</f>
        <v>-9.7543306765146564E-14</v>
      </c>
      <c r="GB105" s="14" t="e">
        <f t="shared" si="103"/>
        <v>#NUM!</v>
      </c>
      <c r="GC105" s="22" t="e">
        <f t="shared" si="79"/>
        <v>#NUM!</v>
      </c>
      <c r="GD105" s="60" t="e">
        <f t="shared" si="80"/>
        <v>#NUM!</v>
      </c>
      <c r="GE105" s="60">
        <f ca="1">AVERAGE(OFFSET($GD$3,0,0,'Données projet'!$E$17+1,1))-AVERAGE(OFFSET($H$3,0,0,'Données projet'!$E$17+1,1))</f>
        <v>445.81166342116865</v>
      </c>
      <c r="GF105" s="60">
        <f t="shared" si="104"/>
        <v>230.82970731138215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5.6843418860808015E-14</v>
      </c>
      <c r="GV105" s="18">
        <f>GU105*VLOOKUP('Données projet'!$B$18,Paramètres!$A$1:$I$89,3,0)*VLOOKUP('Données projet'!$B$18,Paramètres!$A$1:$I$89,5,0)</f>
        <v>4.4337866711430253E-14</v>
      </c>
      <c r="GW105" s="14">
        <f t="shared" si="105"/>
        <v>7.3222115536967035E-13</v>
      </c>
      <c r="GX105" s="22">
        <f t="shared" si="82"/>
        <v>1.3525069634579169E-12</v>
      </c>
      <c r="GY105" s="60">
        <f t="shared" si="83"/>
        <v>293.33333333333468</v>
      </c>
      <c r="GZ105" s="60">
        <f ca="1">AVERAGE(OFFSET($GY$3,0,0,'Données projet'!$E$18+1,1))-AVERAGE(OFFSET($H$3,0,0,'Données projet'!$E$18+1,1))</f>
        <v>289.19475369871481</v>
      </c>
      <c r="HA105" s="60">
        <f t="shared" si="106"/>
        <v>283.48738729114024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projet'!$B$18,Paramètres!$A$1:$I$89,3,0)*0.475*44/12</f>
        <v>0</v>
      </c>
      <c r="HH105" s="23">
        <f>EXP(-LN(2)/25)*HH104+(1-EXP(-LN(2)/25))/(LN(2)/25)*Calculateur!HC105*Calculateur!HE105*VLOOKUP('Données projet'!$B$18,Paramètres!$A$1:$I$89,3,0)*0.475*44/12</f>
        <v>0</v>
      </c>
      <c r="HI105" s="23">
        <f>EXP(-LN(2)/2)*HI104+(1-EXP(-LN(2)/2))/(LN(2)/2)*HC105*HF105*VLOOKUP('Données projet'!$B$18,Paramètres!$A$1:$I$89,3,0)*0.475*44/12</f>
        <v>0</v>
      </c>
      <c r="HJ105" s="24">
        <f t="shared" si="84"/>
        <v>0</v>
      </c>
    </row>
    <row r="106" spans="1:218" s="5" customFormat="1" x14ac:dyDescent="0.3">
      <c r="A106" s="11">
        <f t="shared" si="85"/>
        <v>103</v>
      </c>
      <c r="B106" s="75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8">
        <f t="shared" si="56"/>
        <v>256.66666666666669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4.7</v>
      </c>
      <c r="N106" s="14">
        <f>IF('Données projet'!$A$36&gt;35,N105+M106-V105,IF(A106&lt;'Données projet'!$A$36,$K$205^A106,IF(A106='Données projet'!$A$36,'Données projet'!$B$36,N105+M106-V105)))</f>
        <v>295.59999999999974</v>
      </c>
      <c r="O106" s="14">
        <f>N106*VLOOKUP('Données projet'!$B$9,Paramètres!$A$1:$I$89,3,0)*VLOOKUP('Données projet'!$B$9,Paramètres!$A$1:$I$89,5,0)</f>
        <v>285.90431999999976</v>
      </c>
      <c r="P106" s="14">
        <f t="shared" si="87"/>
        <v>68.21324199961451</v>
      </c>
      <c r="Q106" s="22">
        <f t="shared" si="107"/>
        <v>616.75475381599483</v>
      </c>
      <c r="R106" s="60">
        <f t="shared" si="55"/>
        <v>910.0880871493282</v>
      </c>
      <c r="S106" s="60">
        <f ca="1">AVERAGE(OFFSET($R$3,0,0,'Données projet'!$E$9+1,1))-AVERAGE(OFFSET($H$3,0,0,'Données projet'!$E$9+1,1))</f>
        <v>456.86147223520601</v>
      </c>
      <c r="T106" s="60">
        <f t="shared" si="88"/>
        <v>244.45149244446094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2.5579538487363607E-13</v>
      </c>
      <c r="AJ106" s="14">
        <f>AI106*VLOOKUP('Données projet'!$B$10,Paramètres!$A$1:$I$89,3,0)*VLOOKUP('Données projet'!$B$10,Paramètres!$A$1:$I$89,5,0)</f>
        <v>1.6759713616920635E-13</v>
      </c>
      <c r="AK106" s="14">
        <f t="shared" si="89"/>
        <v>2.3709043131075133E-12</v>
      </c>
      <c r="AL106" s="22">
        <f t="shared" si="58"/>
        <v>4.4212233574902864E-12</v>
      </c>
      <c r="AM106" s="60">
        <f t="shared" si="59"/>
        <v>293.33333333333775</v>
      </c>
      <c r="AN106" s="60">
        <f ca="1">AVERAGE(OFFSET($AM$3,0,0,'Données projet'!$E$10+1,1))-AVERAGE(OFFSET($H$3,0,0,'Données projet'!$E$10+1,1))</f>
        <v>170.79567854714986</v>
      </c>
      <c r="AO106" s="60">
        <f t="shared" si="90"/>
        <v>155.92788004111191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-1.1368683772161603E-13</v>
      </c>
      <c r="BE106" s="14">
        <f>BD106*VLOOKUP('Données projet'!$B$11,Paramètres!$A$1:$I$89,3,0)*VLOOKUP('Données projet'!$B$11,Paramètres!$A$1:$I$89,5,0)</f>
        <v>-9.2222762759774927E-14</v>
      </c>
      <c r="BF106" s="14" t="e">
        <f t="shared" si="91"/>
        <v>#NUM!</v>
      </c>
      <c r="BG106" s="22" t="e">
        <f t="shared" si="61"/>
        <v>#NUM!</v>
      </c>
      <c r="BH106" s="60" t="e">
        <f t="shared" si="62"/>
        <v>#NUM!</v>
      </c>
      <c r="BI106" s="60">
        <f ca="1">AVERAGE(OFFSET($BH$3,0,0,'Données projet'!$E$11+1,1))-AVERAGE(OFFSET($H$3,0,0,'Données projet'!$E$11+1,1))</f>
        <v>256.19915261735281</v>
      </c>
      <c r="BJ106" s="60">
        <f t="shared" si="92"/>
        <v>297.47246687305056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3.2051282051282044</v>
      </c>
      <c r="BY106" s="13">
        <f>IF('Données projet'!$A$114&gt;35,BY105+BX106-CG105,IF(A106&lt;'Données projet'!$A$114,$BV$205^A106,IF(A106='Données projet'!$A$114,'Données projet'!$B$114,BY105+BX106-CG105)))</f>
        <v>235.89743589743588</v>
      </c>
      <c r="BZ106" s="14">
        <f>BY106*VLOOKUP('Données projet'!$B$12,Paramètres!$A$1:$I$89,3,0)*VLOOKUP('Données projet'!$B$12,Paramètres!$A$1:$I$89,5,0)</f>
        <v>224.48</v>
      </c>
      <c r="CA106" s="14">
        <f t="shared" si="93"/>
        <v>55.087446236963196</v>
      </c>
      <c r="CB106" s="22">
        <f t="shared" si="64"/>
        <v>486.91330219604424</v>
      </c>
      <c r="CC106" s="60">
        <f t="shared" si="65"/>
        <v>780.2466355293775</v>
      </c>
      <c r="CD106" s="60">
        <f ca="1">AVERAGE(OFFSET($CC$3,0,0,'Données projet'!$E$12+1,1))-AVERAGE(OFFSET($H$3,0,0,'Données projet'!$E$12+1,1))</f>
        <v>353.53401919391234</v>
      </c>
      <c r="CE106" s="60">
        <f t="shared" si="94"/>
        <v>244.7141066773861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4.7</v>
      </c>
      <c r="CT106" s="13">
        <f>IF('Données projet'!$A$140&gt;35,CT105+CS106-DB105,IF(A106&lt;'Données projet'!$A$140,$CQ$205^A106,IF(A106='Données projet'!$A$140,'Données projet'!$B$140,CT105+CS106-DB105)))</f>
        <v>295.59999999999974</v>
      </c>
      <c r="CU106" s="18">
        <f>CT106*VLOOKUP('Données projet'!$B$13,Paramètres!$A$1:$I$89,3,0)*VLOOKUP('Données projet'!$B$13,Paramètres!$A$1:$I$89,5,0)</f>
        <v>249.01343999999983</v>
      </c>
      <c r="CV106" s="14">
        <f t="shared" si="95"/>
        <v>60.374635285677527</v>
      </c>
      <c r="CW106" s="22">
        <f t="shared" si="67"/>
        <v>538.85089778922145</v>
      </c>
      <c r="CX106" s="60">
        <f t="shared" si="68"/>
        <v>832.18423112255482</v>
      </c>
      <c r="CY106" s="60">
        <f ca="1">AVERAGE(OFFSET($CX$3,0,0,'Données projet'!$E$13+1,1))-AVERAGE(OFFSET($H$3,0,0,'Données projet'!$E$13+1,1))</f>
        <v>403.33327536410098</v>
      </c>
      <c r="CZ106" s="60">
        <f t="shared" si="96"/>
        <v>218.26721063098552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3.4106051316484809E-13</v>
      </c>
      <c r="DP106" s="18">
        <f>DO106*VLOOKUP('Données projet'!$B$14,Paramètres!$A$1:$I$89,3,0)*VLOOKUP('Données projet'!$B$14,Paramètres!$A$1:$I$89,5,0)</f>
        <v>2.7134774427395314E-13</v>
      </c>
      <c r="DQ106" s="14">
        <f t="shared" si="97"/>
        <v>3.6292411711343559E-12</v>
      </c>
      <c r="DR106" s="22">
        <f t="shared" si="70"/>
        <v>6.7935256943361388E-12</v>
      </c>
      <c r="DS106" s="60">
        <f t="shared" si="71"/>
        <v>293.33333333334014</v>
      </c>
      <c r="DT106" s="60">
        <f ca="1">AVERAGE(OFFSET($DS$3,0,0,'Données projet'!$E$14+1,1))-AVERAGE(OFFSET($H$3,0,0,'Données projet'!$E$14+1,1))</f>
        <v>317.13087551964747</v>
      </c>
      <c r="DU106" s="60">
        <f t="shared" si="98"/>
        <v>293.43300041793185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1.7053025658242404E-13</v>
      </c>
      <c r="EK106" s="18">
        <f>EJ106*VLOOKUP('Données projet'!$B$15,Paramètres!$A$1:$I$89,3,0)*VLOOKUP('Données projet'!$B$15,Paramètres!$A$1:$I$89,5,0)</f>
        <v>1.3567387213697657E-13</v>
      </c>
      <c r="EL106" s="14">
        <f t="shared" si="99"/>
        <v>1.9670967679808581E-12</v>
      </c>
      <c r="EM106" s="22">
        <f t="shared" si="73"/>
        <v>3.6623255315385623E-12</v>
      </c>
      <c r="EN106" s="60">
        <f t="shared" si="74"/>
        <v>293.33333333333695</v>
      </c>
      <c r="EO106" s="60">
        <f ca="1">AVERAGE(OFFSET($EN$3,0,0,'Données projet'!$E$15+1,1))-AVERAGE(OFFSET($H$3,0,0,'Données projet'!$E$15+1,1))</f>
        <v>253.03289960511904</v>
      </c>
      <c r="EP106" s="60">
        <f t="shared" si="100"/>
        <v>236.85088713056018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1.7053025658242404E-13</v>
      </c>
      <c r="FF106" s="18">
        <f>FE106*VLOOKUP('Données projet'!$B$16,Paramètres!$A$1:$I$89,3,0)*VLOOKUP('Données projet'!$B$16,Paramètres!$A$1:$I$89,5,0)</f>
        <v>1.4897523215040567E-13</v>
      </c>
      <c r="FG106" s="14">
        <f t="shared" si="101"/>
        <v>2.136562777003313E-12</v>
      </c>
      <c r="FH106" s="22">
        <f t="shared" si="76"/>
        <v>3.9806453659427267E-12</v>
      </c>
      <c r="FI106" s="60">
        <f t="shared" si="77"/>
        <v>293.33333333333729</v>
      </c>
      <c r="FJ106" s="60">
        <f ca="1">AVERAGE(OFFSET($FI$3,0,0,'Données projet'!$E$16+1,1))-AVERAGE(OFFSET($H$3,0,0,'Données projet'!$E$16+1,1))</f>
        <v>274.38315511766132</v>
      </c>
      <c r="FK106" s="60">
        <f t="shared" si="102"/>
        <v>255.96663040027175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-1.1368683772161603E-13</v>
      </c>
      <c r="GA106" s="18">
        <f>FZ106*VLOOKUP('Données projet'!$B$17,Paramètres!$A$1:$I$89,3,0)*VLOOKUP('Données projet'!$B$17,Paramètres!$A$1:$I$89,5,0)</f>
        <v>-9.7543306765146564E-14</v>
      </c>
      <c r="GB106" s="14" t="e">
        <f t="shared" si="103"/>
        <v>#NUM!</v>
      </c>
      <c r="GC106" s="22" t="e">
        <f t="shared" si="79"/>
        <v>#NUM!</v>
      </c>
      <c r="GD106" s="60" t="e">
        <f t="shared" si="80"/>
        <v>#NUM!</v>
      </c>
      <c r="GE106" s="60">
        <f ca="1">AVERAGE(OFFSET($GD$3,0,0,'Données projet'!$E$17+1,1))-AVERAGE(OFFSET($H$3,0,0,'Données projet'!$E$17+1,1))</f>
        <v>445.81166342116865</v>
      </c>
      <c r="GF106" s="60">
        <f t="shared" si="104"/>
        <v>230.82970731138215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5.6843418860808015E-14</v>
      </c>
      <c r="GV106" s="18">
        <f>GU106*VLOOKUP('Données projet'!$B$18,Paramètres!$A$1:$I$89,3,0)*VLOOKUP('Données projet'!$B$18,Paramètres!$A$1:$I$89,5,0)</f>
        <v>4.4337866711430253E-14</v>
      </c>
      <c r="GW106" s="14">
        <f t="shared" si="105"/>
        <v>7.3222115536967035E-13</v>
      </c>
      <c r="GX106" s="22">
        <f t="shared" si="82"/>
        <v>1.3525069634579169E-12</v>
      </c>
      <c r="GY106" s="60">
        <f t="shared" si="83"/>
        <v>293.33333333333468</v>
      </c>
      <c r="GZ106" s="60">
        <f ca="1">AVERAGE(OFFSET($GY$3,0,0,'Données projet'!$E$18+1,1))-AVERAGE(OFFSET($H$3,0,0,'Données projet'!$E$18+1,1))</f>
        <v>289.19475369871481</v>
      </c>
      <c r="HA106" s="60">
        <f t="shared" si="106"/>
        <v>283.48738729114024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projet'!$B$18,Paramètres!$A$1:$I$89,3,0)*0.475*44/12</f>
        <v>0</v>
      </c>
      <c r="HH106" s="23">
        <f>EXP(-LN(2)/25)*HH105+(1-EXP(-LN(2)/25))/(LN(2)/25)*Calculateur!HC106*Calculateur!HE106*VLOOKUP('Données projet'!$B$18,Paramètres!$A$1:$I$89,3,0)*0.475*44/12</f>
        <v>0</v>
      </c>
      <c r="HI106" s="23">
        <f>EXP(-LN(2)/2)*HI105+(1-EXP(-LN(2)/2))/(LN(2)/2)*HC106*HF106*VLOOKUP('Données projet'!$B$18,Paramètres!$A$1:$I$89,3,0)*0.475*44/12</f>
        <v>0</v>
      </c>
      <c r="HJ106" s="24">
        <f t="shared" si="84"/>
        <v>0</v>
      </c>
    </row>
    <row r="107" spans="1:218" s="5" customFormat="1" x14ac:dyDescent="0.3">
      <c r="A107" s="11">
        <f t="shared" si="85"/>
        <v>104</v>
      </c>
      <c r="B107" s="75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8">
        <f t="shared" si="56"/>
        <v>256.66666666666669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4.7</v>
      </c>
      <c r="N107" s="14">
        <f>IF('Données projet'!$A$36&gt;35,N106+M107-V106,IF(A107&lt;'Données projet'!$A$36,$K$205^A107,IF(A107='Données projet'!$A$36,'Données projet'!$B$36,N106+M107-V106)))</f>
        <v>300.29999999999973</v>
      </c>
      <c r="O107" s="14">
        <f>N107*VLOOKUP('Données projet'!$B$9,Paramètres!$A$1:$I$89,3,0)*VLOOKUP('Données projet'!$B$9,Paramètres!$A$1:$I$89,5,0)</f>
        <v>290.45015999999976</v>
      </c>
      <c r="P107" s="14">
        <f t="shared" si="87"/>
        <v>69.170696437598821</v>
      </c>
      <c r="Q107" s="22">
        <f t="shared" si="107"/>
        <v>626.33965829548413</v>
      </c>
      <c r="R107" s="60">
        <f t="shared" si="55"/>
        <v>919.6729916288175</v>
      </c>
      <c r="S107" s="60">
        <f ca="1">AVERAGE(OFFSET($R$3,0,0,'Données projet'!$E$9+1,1))-AVERAGE(OFFSET($H$3,0,0,'Données projet'!$E$9+1,1))</f>
        <v>456.86147223520601</v>
      </c>
      <c r="T107" s="60">
        <f t="shared" si="88"/>
        <v>244.45149244446094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2.5579538487363607E-13</v>
      </c>
      <c r="AJ107" s="14">
        <f>AI107*VLOOKUP('Données projet'!$B$10,Paramètres!$A$1:$I$89,3,0)*VLOOKUP('Données projet'!$B$10,Paramètres!$A$1:$I$89,5,0)</f>
        <v>1.6759713616920635E-13</v>
      </c>
      <c r="AK107" s="14">
        <f t="shared" si="89"/>
        <v>2.3709043131075133E-12</v>
      </c>
      <c r="AL107" s="22">
        <f t="shared" si="58"/>
        <v>4.4212233574902864E-12</v>
      </c>
      <c r="AM107" s="60">
        <f t="shared" si="59"/>
        <v>293.33333333333775</v>
      </c>
      <c r="AN107" s="60">
        <f ca="1">AVERAGE(OFFSET($AM$3,0,0,'Données projet'!$E$10+1,1))-AVERAGE(OFFSET($H$3,0,0,'Données projet'!$E$10+1,1))</f>
        <v>170.79567854714986</v>
      </c>
      <c r="AO107" s="60">
        <f t="shared" si="90"/>
        <v>155.92788004111191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-1.1368683772161603E-13</v>
      </c>
      <c r="BE107" s="14">
        <f>BD107*VLOOKUP('Données projet'!$B$11,Paramètres!$A$1:$I$89,3,0)*VLOOKUP('Données projet'!$B$11,Paramètres!$A$1:$I$89,5,0)</f>
        <v>-9.2222762759774927E-14</v>
      </c>
      <c r="BF107" s="14" t="e">
        <f t="shared" si="91"/>
        <v>#NUM!</v>
      </c>
      <c r="BG107" s="22" t="e">
        <f t="shared" si="61"/>
        <v>#NUM!</v>
      </c>
      <c r="BH107" s="60" t="e">
        <f t="shared" si="62"/>
        <v>#NUM!</v>
      </c>
      <c r="BI107" s="60">
        <f ca="1">AVERAGE(OFFSET($BH$3,0,0,'Données projet'!$E$11+1,1))-AVERAGE(OFFSET($H$3,0,0,'Données projet'!$E$11+1,1))</f>
        <v>256.19915261735281</v>
      </c>
      <c r="BJ107" s="60">
        <f t="shared" si="92"/>
        <v>297.47246687305056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3.2051282051282044</v>
      </c>
      <c r="BY107" s="13">
        <f>IF('Données projet'!$A$114&gt;35,BY106+BX107-CG106,IF(A107&lt;'Données projet'!$A$114,$BV$205^A107,IF(A107='Données projet'!$A$114,'Données projet'!$B$114,BY106+BX107-CG106)))</f>
        <v>239.10256410256409</v>
      </c>
      <c r="BZ107" s="14">
        <f>BY107*VLOOKUP('Données projet'!$B$12,Paramètres!$A$1:$I$89,3,0)*VLOOKUP('Données projet'!$B$12,Paramètres!$A$1:$I$89,5,0)</f>
        <v>227.52999999999997</v>
      </c>
      <c r="CA107" s="14">
        <f t="shared" si="93"/>
        <v>55.748274636758076</v>
      </c>
      <c r="CB107" s="22">
        <f t="shared" si="64"/>
        <v>493.37632832568693</v>
      </c>
      <c r="CC107" s="60">
        <f t="shared" si="65"/>
        <v>786.70966165902018</v>
      </c>
      <c r="CD107" s="60">
        <f ca="1">AVERAGE(OFFSET($CC$3,0,0,'Données projet'!$E$12+1,1))-AVERAGE(OFFSET($H$3,0,0,'Données projet'!$E$12+1,1))</f>
        <v>353.53401919391234</v>
      </c>
      <c r="CE107" s="60">
        <f t="shared" si="94"/>
        <v>244.7141066773861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4.7</v>
      </c>
      <c r="CT107" s="13">
        <f>IF('Données projet'!$A$140&gt;35,CT106+CS107-DB106,IF(A107&lt;'Données projet'!$A$140,$CQ$205^A107,IF(A107='Données projet'!$A$140,'Données projet'!$B$140,CT106+CS107-DB106)))</f>
        <v>300.29999999999973</v>
      </c>
      <c r="CU107" s="18">
        <f>CT107*VLOOKUP('Données projet'!$B$13,Paramètres!$A$1:$I$89,3,0)*VLOOKUP('Données projet'!$B$13,Paramètres!$A$1:$I$89,5,0)</f>
        <v>252.97271999999981</v>
      </c>
      <c r="CV107" s="14">
        <f t="shared" si="95"/>
        <v>61.222065503057934</v>
      </c>
      <c r="CW107" s="22">
        <f t="shared" si="67"/>
        <v>547.22258475115893</v>
      </c>
      <c r="CX107" s="60">
        <f t="shared" si="68"/>
        <v>840.5559180844923</v>
      </c>
      <c r="CY107" s="60">
        <f ca="1">AVERAGE(OFFSET($CX$3,0,0,'Données projet'!$E$13+1,1))-AVERAGE(OFFSET($H$3,0,0,'Données projet'!$E$13+1,1))</f>
        <v>403.33327536410098</v>
      </c>
      <c r="CZ107" s="60">
        <f t="shared" si="96"/>
        <v>218.26721063098552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3.4106051316484809E-13</v>
      </c>
      <c r="DP107" s="18">
        <f>DO107*VLOOKUP('Données projet'!$B$14,Paramètres!$A$1:$I$89,3,0)*VLOOKUP('Données projet'!$B$14,Paramètres!$A$1:$I$89,5,0)</f>
        <v>2.7134774427395314E-13</v>
      </c>
      <c r="DQ107" s="14">
        <f t="shared" si="97"/>
        <v>3.6292411711343559E-12</v>
      </c>
      <c r="DR107" s="22">
        <f t="shared" si="70"/>
        <v>6.7935256943361388E-12</v>
      </c>
      <c r="DS107" s="60">
        <f t="shared" si="71"/>
        <v>293.33333333334014</v>
      </c>
      <c r="DT107" s="60">
        <f ca="1">AVERAGE(OFFSET($DS$3,0,0,'Données projet'!$E$14+1,1))-AVERAGE(OFFSET($H$3,0,0,'Données projet'!$E$14+1,1))</f>
        <v>317.13087551964747</v>
      </c>
      <c r="DU107" s="60">
        <f t="shared" si="98"/>
        <v>293.43300041793185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1.7053025658242404E-13</v>
      </c>
      <c r="EK107" s="18">
        <f>EJ107*VLOOKUP('Données projet'!$B$15,Paramètres!$A$1:$I$89,3,0)*VLOOKUP('Données projet'!$B$15,Paramètres!$A$1:$I$89,5,0)</f>
        <v>1.3567387213697657E-13</v>
      </c>
      <c r="EL107" s="14">
        <f t="shared" si="99"/>
        <v>1.9670967679808581E-12</v>
      </c>
      <c r="EM107" s="22">
        <f t="shared" si="73"/>
        <v>3.6623255315385623E-12</v>
      </c>
      <c r="EN107" s="60">
        <f t="shared" si="74"/>
        <v>293.33333333333695</v>
      </c>
      <c r="EO107" s="60">
        <f ca="1">AVERAGE(OFFSET($EN$3,0,0,'Données projet'!$E$15+1,1))-AVERAGE(OFFSET($H$3,0,0,'Données projet'!$E$15+1,1))</f>
        <v>253.03289960511904</v>
      </c>
      <c r="EP107" s="60">
        <f t="shared" si="100"/>
        <v>236.85088713056018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1.7053025658242404E-13</v>
      </c>
      <c r="FF107" s="18">
        <f>FE107*VLOOKUP('Données projet'!$B$16,Paramètres!$A$1:$I$89,3,0)*VLOOKUP('Données projet'!$B$16,Paramètres!$A$1:$I$89,5,0)</f>
        <v>1.4897523215040567E-13</v>
      </c>
      <c r="FG107" s="14">
        <f t="shared" si="101"/>
        <v>2.136562777003313E-12</v>
      </c>
      <c r="FH107" s="22">
        <f t="shared" si="76"/>
        <v>3.9806453659427267E-12</v>
      </c>
      <c r="FI107" s="60">
        <f t="shared" si="77"/>
        <v>293.33333333333729</v>
      </c>
      <c r="FJ107" s="60">
        <f ca="1">AVERAGE(OFFSET($FI$3,0,0,'Données projet'!$E$16+1,1))-AVERAGE(OFFSET($H$3,0,0,'Données projet'!$E$16+1,1))</f>
        <v>274.38315511766132</v>
      </c>
      <c r="FK107" s="60">
        <f t="shared" si="102"/>
        <v>255.96663040027175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-1.1368683772161603E-13</v>
      </c>
      <c r="GA107" s="18">
        <f>FZ107*VLOOKUP('Données projet'!$B$17,Paramètres!$A$1:$I$89,3,0)*VLOOKUP('Données projet'!$B$17,Paramètres!$A$1:$I$89,5,0)</f>
        <v>-9.7543306765146564E-14</v>
      </c>
      <c r="GB107" s="14" t="e">
        <f t="shared" si="103"/>
        <v>#NUM!</v>
      </c>
      <c r="GC107" s="22" t="e">
        <f t="shared" si="79"/>
        <v>#NUM!</v>
      </c>
      <c r="GD107" s="60" t="e">
        <f t="shared" si="80"/>
        <v>#NUM!</v>
      </c>
      <c r="GE107" s="60">
        <f ca="1">AVERAGE(OFFSET($GD$3,0,0,'Données projet'!$E$17+1,1))-AVERAGE(OFFSET($H$3,0,0,'Données projet'!$E$17+1,1))</f>
        <v>445.81166342116865</v>
      </c>
      <c r="GF107" s="60">
        <f t="shared" si="104"/>
        <v>230.82970731138215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5.6843418860808015E-14</v>
      </c>
      <c r="GV107" s="18">
        <f>GU107*VLOOKUP('Données projet'!$B$18,Paramètres!$A$1:$I$89,3,0)*VLOOKUP('Données projet'!$B$18,Paramètres!$A$1:$I$89,5,0)</f>
        <v>4.4337866711430253E-14</v>
      </c>
      <c r="GW107" s="14">
        <f t="shared" si="105"/>
        <v>7.3222115536967035E-13</v>
      </c>
      <c r="GX107" s="22">
        <f t="shared" si="82"/>
        <v>1.3525069634579169E-12</v>
      </c>
      <c r="GY107" s="60">
        <f t="shared" si="83"/>
        <v>293.33333333333468</v>
      </c>
      <c r="GZ107" s="60">
        <f ca="1">AVERAGE(OFFSET($GY$3,0,0,'Données projet'!$E$18+1,1))-AVERAGE(OFFSET($H$3,0,0,'Données projet'!$E$18+1,1))</f>
        <v>289.19475369871481</v>
      </c>
      <c r="HA107" s="60">
        <f t="shared" si="106"/>
        <v>283.48738729114024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projet'!$B$18,Paramètres!$A$1:$I$89,3,0)*0.475*44/12</f>
        <v>0</v>
      </c>
      <c r="HH107" s="23">
        <f>EXP(-LN(2)/25)*HH106+(1-EXP(-LN(2)/25))/(LN(2)/25)*Calculateur!HC107*Calculateur!HE107*VLOOKUP('Données projet'!$B$18,Paramètres!$A$1:$I$89,3,0)*0.475*44/12</f>
        <v>0</v>
      </c>
      <c r="HI107" s="23">
        <f>EXP(-LN(2)/2)*HI106+(1-EXP(-LN(2)/2))/(LN(2)/2)*HC107*HF107*VLOOKUP('Données projet'!$B$18,Paramètres!$A$1:$I$89,3,0)*0.475*44/12</f>
        <v>0</v>
      </c>
      <c r="HJ107" s="24">
        <f t="shared" si="84"/>
        <v>0</v>
      </c>
    </row>
    <row r="108" spans="1:218" s="5" customFormat="1" x14ac:dyDescent="0.3">
      <c r="A108" s="11">
        <f t="shared" si="85"/>
        <v>105</v>
      </c>
      <c r="B108" s="75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8">
        <f t="shared" si="56"/>
        <v>256.66666666666669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305</v>
      </c>
      <c r="L108" s="13">
        <f>VLOOKUP(A108,'Données projet'!$A$35:$I$55,9,0)</f>
        <v>4.7</v>
      </c>
      <c r="M108" s="13">
        <f t="array" ref="M108">INDEX(L:L,MIN(IF(ISNUMBER(L108:L304),ROW(L108:L304),"")))</f>
        <v>4.7</v>
      </c>
      <c r="N108" s="14">
        <f>IF('Données projet'!$A$36&gt;35,N107+M108-V107,IF(A108&lt;'Données projet'!$A$36,$K$205^A108,IF(A108='Données projet'!$A$36,'Données projet'!$B$36,N107+M108-V107)))</f>
        <v>304.99999999999972</v>
      </c>
      <c r="O108" s="14">
        <f>N108*VLOOKUP('Données projet'!$B$9,Paramètres!$A$1:$I$89,3,0)*VLOOKUP('Données projet'!$B$9,Paramètres!$A$1:$I$89,5,0)</f>
        <v>294.99599999999975</v>
      </c>
      <c r="P108" s="14">
        <f t="shared" si="87"/>
        <v>70.126408118585388</v>
      </c>
      <c r="Q108" s="22">
        <f t="shared" si="107"/>
        <v>635.92152747320245</v>
      </c>
      <c r="R108" s="60">
        <f t="shared" si="55"/>
        <v>929.25486080653582</v>
      </c>
      <c r="S108" s="60">
        <f ca="1">AVERAGE(OFFSET($R$3,0,0,'Données projet'!$E$9+1,1))-AVERAGE(OFFSET($H$3,0,0,'Données projet'!$E$9+1,1))</f>
        <v>456.86147223520601</v>
      </c>
      <c r="T108" s="60">
        <f t="shared" si="88"/>
        <v>244.45149244446094</v>
      </c>
      <c r="U108" s="16">
        <f>IF(ISNA(VLOOKUP(A108,'Données projet'!$A$35:$I$55,3,0)),0,VLOOKUP(A108,'Données projet'!$A$35:$I$55,3,0))</f>
        <v>9</v>
      </c>
      <c r="V108" s="16">
        <f>IF(ISNA(VLOOKUP(A108,'Données projet'!$A$35:$I$55,4,0)),0,VLOOKUP(A108,'Données projet'!$A$35:$I$55,4,0))</f>
        <v>41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2.5579538487363607E-13</v>
      </c>
      <c r="AJ108" s="14">
        <f>AI108*VLOOKUP('Données projet'!$B$10,Paramètres!$A$1:$I$89,3,0)*VLOOKUP('Données projet'!$B$10,Paramètres!$A$1:$I$89,5,0)</f>
        <v>1.6759713616920635E-13</v>
      </c>
      <c r="AK108" s="14">
        <f t="shared" si="89"/>
        <v>2.3709043131075133E-12</v>
      </c>
      <c r="AL108" s="22">
        <f t="shared" si="58"/>
        <v>4.4212233574902864E-12</v>
      </c>
      <c r="AM108" s="60">
        <f t="shared" si="59"/>
        <v>293.33333333333775</v>
      </c>
      <c r="AN108" s="60">
        <f ca="1">AVERAGE(OFFSET($AM$3,0,0,'Données projet'!$E$10+1,1))-AVERAGE(OFFSET($H$3,0,0,'Données projet'!$E$10+1,1))</f>
        <v>170.79567854714986</v>
      </c>
      <c r="AO108" s="60">
        <f t="shared" si="90"/>
        <v>155.92788004111191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-1.1368683772161603E-13</v>
      </c>
      <c r="BE108" s="14">
        <f>BD108*VLOOKUP('Données projet'!$B$11,Paramètres!$A$1:$I$89,3,0)*VLOOKUP('Données projet'!$B$11,Paramètres!$A$1:$I$89,5,0)</f>
        <v>-9.2222762759774927E-14</v>
      </c>
      <c r="BF108" s="14" t="e">
        <f t="shared" si="91"/>
        <v>#NUM!</v>
      </c>
      <c r="BG108" s="22" t="e">
        <f t="shared" si="61"/>
        <v>#NUM!</v>
      </c>
      <c r="BH108" s="60" t="e">
        <f t="shared" si="62"/>
        <v>#NUM!</v>
      </c>
      <c r="BI108" s="60">
        <f ca="1">AVERAGE(OFFSET($BH$3,0,0,'Données projet'!$E$11+1,1))-AVERAGE(OFFSET($H$3,0,0,'Données projet'!$E$11+1,1))</f>
        <v>256.19915261735281</v>
      </c>
      <c r="BJ108" s="60">
        <f t="shared" si="92"/>
        <v>297.47246687305056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242.30769230769229</v>
      </c>
      <c r="BW108" s="13">
        <f>VLOOKUP(A108,'Données projet'!$A$113:$I$133,9,0)</f>
        <v>3.2051282051282044</v>
      </c>
      <c r="BX108" s="13">
        <f t="array" ref="BX108">INDEX(BW:BW,MIN(IF(ISNUMBER(BW108:BW304),ROW(BW108:BW304),"")))</f>
        <v>3.2051282051282044</v>
      </c>
      <c r="BY108" s="13">
        <f>IF('Données projet'!$A$114&gt;35,BY107+BX108-CG107,IF(A108&lt;'Données projet'!$A$114,$BV$205^A108,IF(A108='Données projet'!$A$114,'Données projet'!$B$114,BY107+BX108-CG107)))</f>
        <v>242.30769230769229</v>
      </c>
      <c r="BZ108" s="14">
        <f>BY108*VLOOKUP('Données projet'!$B$12,Paramètres!$A$1:$I$89,3,0)*VLOOKUP('Données projet'!$B$12,Paramètres!$A$1:$I$89,5,0)</f>
        <v>230.57999999999998</v>
      </c>
      <c r="CA108" s="14">
        <f t="shared" si="93"/>
        <v>56.408072703031301</v>
      </c>
      <c r="CB108" s="22">
        <f t="shared" si="64"/>
        <v>499.83755995777938</v>
      </c>
      <c r="CC108" s="60">
        <f t="shared" si="65"/>
        <v>793.17089329111263</v>
      </c>
      <c r="CD108" s="60">
        <f ca="1">AVERAGE(OFFSET($CC$3,0,0,'Données projet'!$E$12+1,1))-AVERAGE(OFFSET($H$3,0,0,'Données projet'!$E$12+1,1))</f>
        <v>353.53401919391234</v>
      </c>
      <c r="CE108" s="60">
        <f t="shared" si="94"/>
        <v>244.7141066773861</v>
      </c>
      <c r="CF108" s="16">
        <f>IF(ISNA(VLOOKUP(A108,'Données projet'!$A$113:$I$133,3,0)),0,VLOOKUP(A108,'Données projet'!$A$113:$I$133,3,0))</f>
        <v>9</v>
      </c>
      <c r="CG108" s="16">
        <f>IF(ISNA(VLOOKUP(A108,'Données projet'!$A$113:$I$133,4,0)),0,VLOOKUP(A108,'Données projet'!$A$113:$I$133,4,0))</f>
        <v>22.435897435897434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305</v>
      </c>
      <c r="CR108" s="13">
        <f>VLOOKUP(A108,'Données projet'!$A$139:$I$159,9,0)</f>
        <v>4.7</v>
      </c>
      <c r="CS108" s="13">
        <f t="array" ref="CS108">INDEX(CR:CR,MIN(IF(ISNUMBER(CR108:CR304),ROW(CR108:CR304),"")))</f>
        <v>4.7</v>
      </c>
      <c r="CT108" s="13">
        <f>IF('Données projet'!$A$140&gt;35,CT107+CS108-DB107,IF(A108&lt;'Données projet'!$A$140,$CQ$205^A108,IF(A108='Données projet'!$A$140,'Données projet'!$B$140,CT107+CS108-DB107)))</f>
        <v>304.99999999999972</v>
      </c>
      <c r="CU108" s="18">
        <f>CT108*VLOOKUP('Données projet'!$B$13,Paramètres!$A$1:$I$89,3,0)*VLOOKUP('Données projet'!$B$13,Paramètres!$A$1:$I$89,5,0)</f>
        <v>256.93199999999979</v>
      </c>
      <c r="CV108" s="14">
        <f t="shared" si="95"/>
        <v>62.067953229346557</v>
      </c>
      <c r="CW108" s="22">
        <f t="shared" si="67"/>
        <v>555.59158520777828</v>
      </c>
      <c r="CX108" s="60">
        <f t="shared" si="68"/>
        <v>848.92491854111154</v>
      </c>
      <c r="CY108" s="60">
        <f ca="1">AVERAGE(OFFSET($CX$3,0,0,'Données projet'!$E$13+1,1))-AVERAGE(OFFSET($H$3,0,0,'Données projet'!$E$13+1,1))</f>
        <v>403.33327536410098</v>
      </c>
      <c r="CZ108" s="60">
        <f t="shared" si="96"/>
        <v>218.26721063098552</v>
      </c>
      <c r="DA108" s="16">
        <f>IF(ISNA(VLOOKUP(A108,'Données projet'!$A$139:$I$159,3,0)),0,VLOOKUP(A108,'Données projet'!$A$139:$I$159,3,0))</f>
        <v>9</v>
      </c>
      <c r="DB108" s="16">
        <f>IF(ISNA(VLOOKUP(A108,'Données projet'!$A$139:$I$159,4,0)),0,VLOOKUP(A108,'Données projet'!$A$139:$I$159,4,0))</f>
        <v>41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3.4106051316484809E-13</v>
      </c>
      <c r="DP108" s="18">
        <f>DO108*VLOOKUP('Données projet'!$B$14,Paramètres!$A$1:$I$89,3,0)*VLOOKUP('Données projet'!$B$14,Paramètres!$A$1:$I$89,5,0)</f>
        <v>2.7134774427395314E-13</v>
      </c>
      <c r="DQ108" s="14">
        <f t="shared" si="97"/>
        <v>3.6292411711343559E-12</v>
      </c>
      <c r="DR108" s="22">
        <f t="shared" si="70"/>
        <v>6.7935256943361388E-12</v>
      </c>
      <c r="DS108" s="60">
        <f t="shared" si="71"/>
        <v>293.33333333334014</v>
      </c>
      <c r="DT108" s="60">
        <f ca="1">AVERAGE(OFFSET($DS$3,0,0,'Données projet'!$E$14+1,1))-AVERAGE(OFFSET($H$3,0,0,'Données projet'!$E$14+1,1))</f>
        <v>317.13087551964747</v>
      </c>
      <c r="DU108" s="60">
        <f t="shared" si="98"/>
        <v>293.43300041793185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1.7053025658242404E-13</v>
      </c>
      <c r="EK108" s="18">
        <f>EJ108*VLOOKUP('Données projet'!$B$15,Paramètres!$A$1:$I$89,3,0)*VLOOKUP('Données projet'!$B$15,Paramètres!$A$1:$I$89,5,0)</f>
        <v>1.3567387213697657E-13</v>
      </c>
      <c r="EL108" s="14">
        <f t="shared" si="99"/>
        <v>1.9670967679808581E-12</v>
      </c>
      <c r="EM108" s="22">
        <f t="shared" si="73"/>
        <v>3.6623255315385623E-12</v>
      </c>
      <c r="EN108" s="60">
        <f t="shared" si="74"/>
        <v>293.33333333333695</v>
      </c>
      <c r="EO108" s="60">
        <f ca="1">AVERAGE(OFFSET($EN$3,0,0,'Données projet'!$E$15+1,1))-AVERAGE(OFFSET($H$3,0,0,'Données projet'!$E$15+1,1))</f>
        <v>253.03289960511904</v>
      </c>
      <c r="EP108" s="60">
        <f t="shared" si="100"/>
        <v>236.85088713056018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1.7053025658242404E-13</v>
      </c>
      <c r="FF108" s="18">
        <f>FE108*VLOOKUP('Données projet'!$B$16,Paramètres!$A$1:$I$89,3,0)*VLOOKUP('Données projet'!$B$16,Paramètres!$A$1:$I$89,5,0)</f>
        <v>1.4897523215040567E-13</v>
      </c>
      <c r="FG108" s="14">
        <f t="shared" si="101"/>
        <v>2.136562777003313E-12</v>
      </c>
      <c r="FH108" s="22">
        <f t="shared" si="76"/>
        <v>3.9806453659427267E-12</v>
      </c>
      <c r="FI108" s="60">
        <f t="shared" si="77"/>
        <v>293.33333333333729</v>
      </c>
      <c r="FJ108" s="60">
        <f ca="1">AVERAGE(OFFSET($FI$3,0,0,'Données projet'!$E$16+1,1))-AVERAGE(OFFSET($H$3,0,0,'Données projet'!$E$16+1,1))</f>
        <v>274.38315511766132</v>
      </c>
      <c r="FK108" s="60">
        <f t="shared" si="102"/>
        <v>255.96663040027175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-1.1368683772161603E-13</v>
      </c>
      <c r="GA108" s="18">
        <f>FZ108*VLOOKUP('Données projet'!$B$17,Paramètres!$A$1:$I$89,3,0)*VLOOKUP('Données projet'!$B$17,Paramètres!$A$1:$I$89,5,0)</f>
        <v>-9.7543306765146564E-14</v>
      </c>
      <c r="GB108" s="14" t="e">
        <f t="shared" si="103"/>
        <v>#NUM!</v>
      </c>
      <c r="GC108" s="22" t="e">
        <f t="shared" si="79"/>
        <v>#NUM!</v>
      </c>
      <c r="GD108" s="60" t="e">
        <f t="shared" si="80"/>
        <v>#NUM!</v>
      </c>
      <c r="GE108" s="60">
        <f ca="1">AVERAGE(OFFSET($GD$3,0,0,'Données projet'!$E$17+1,1))-AVERAGE(OFFSET($H$3,0,0,'Données projet'!$E$17+1,1))</f>
        <v>445.81166342116865</v>
      </c>
      <c r="GF108" s="60">
        <f t="shared" si="104"/>
        <v>230.82970731138215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5.6843418860808015E-14</v>
      </c>
      <c r="GV108" s="18">
        <f>GU108*VLOOKUP('Données projet'!$B$18,Paramètres!$A$1:$I$89,3,0)*VLOOKUP('Données projet'!$B$18,Paramètres!$A$1:$I$89,5,0)</f>
        <v>4.4337866711430253E-14</v>
      </c>
      <c r="GW108" s="14">
        <f t="shared" si="105"/>
        <v>7.3222115536967035E-13</v>
      </c>
      <c r="GX108" s="22">
        <f t="shared" si="82"/>
        <v>1.3525069634579169E-12</v>
      </c>
      <c r="GY108" s="60">
        <f t="shared" si="83"/>
        <v>293.33333333333468</v>
      </c>
      <c r="GZ108" s="60">
        <f ca="1">AVERAGE(OFFSET($GY$3,0,0,'Données projet'!$E$18+1,1))-AVERAGE(OFFSET($H$3,0,0,'Données projet'!$E$18+1,1))</f>
        <v>289.19475369871481</v>
      </c>
      <c r="HA108" s="60">
        <f t="shared" si="106"/>
        <v>283.48738729114024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projet'!$B$18,Paramètres!$A$1:$I$89,3,0)*0.475*44/12</f>
        <v>0</v>
      </c>
      <c r="HH108" s="23">
        <f>EXP(-LN(2)/25)*HH107+(1-EXP(-LN(2)/25))/(LN(2)/25)*Calculateur!HC108*Calculateur!HE108*VLOOKUP('Données projet'!$B$18,Paramètres!$A$1:$I$89,3,0)*0.475*44/12</f>
        <v>0</v>
      </c>
      <c r="HI108" s="23">
        <f>EXP(-LN(2)/2)*HI107+(1-EXP(-LN(2)/2))/(LN(2)/2)*HC108*HF108*VLOOKUP('Données projet'!$B$18,Paramètres!$A$1:$I$89,3,0)*0.475*44/12</f>
        <v>0</v>
      </c>
      <c r="HJ108" s="24">
        <f t="shared" si="84"/>
        <v>0</v>
      </c>
    </row>
    <row r="109" spans="1:218" s="5" customFormat="1" x14ac:dyDescent="0.3">
      <c r="A109" s="11">
        <f t="shared" si="85"/>
        <v>106</v>
      </c>
      <c r="B109" s="75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8">
        <f t="shared" si="56"/>
        <v>256.66666666666669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</v>
      </c>
      <c r="N109" s="14">
        <f>IF('Données projet'!$A$36&gt;35,N108+M109-V108,IF(A109&lt;'Données projet'!$A$36,$K$205^A109,IF(A109='Données projet'!$A$36,'Données projet'!$B$36,N108+M109-V108)))</f>
        <v>267.99999999999972</v>
      </c>
      <c r="O109" s="14">
        <f>N109*VLOOKUP('Données projet'!$B$9,Paramètres!$A$1:$I$89,3,0)*VLOOKUP('Données projet'!$B$9,Paramètres!$A$1:$I$89,5,0)</f>
        <v>259.20959999999974</v>
      </c>
      <c r="P109" s="14">
        <f t="shared" si="87"/>
        <v>62.553866774106652</v>
      </c>
      <c r="Q109" s="22">
        <f t="shared" si="107"/>
        <v>560.40470463156862</v>
      </c>
      <c r="R109" s="60">
        <f t="shared" si="55"/>
        <v>853.73803796490188</v>
      </c>
      <c r="S109" s="60">
        <f ca="1">AVERAGE(OFFSET($R$3,0,0,'Données projet'!$E$9+1,1))-AVERAGE(OFFSET($H$3,0,0,'Données projet'!$E$9+1,1))</f>
        <v>456.86147223520601</v>
      </c>
      <c r="T109" s="60">
        <f t="shared" si="88"/>
        <v>244.45149244446094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2.5579538487363607E-13</v>
      </c>
      <c r="AJ109" s="14">
        <f>AI109*VLOOKUP('Données projet'!$B$10,Paramètres!$A$1:$I$89,3,0)*VLOOKUP('Données projet'!$B$10,Paramètres!$A$1:$I$89,5,0)</f>
        <v>1.6759713616920635E-13</v>
      </c>
      <c r="AK109" s="14">
        <f t="shared" si="89"/>
        <v>2.3709043131075133E-12</v>
      </c>
      <c r="AL109" s="22">
        <f t="shared" si="58"/>
        <v>4.4212233574902864E-12</v>
      </c>
      <c r="AM109" s="60">
        <f t="shared" si="59"/>
        <v>293.33333333333775</v>
      </c>
      <c r="AN109" s="60">
        <f ca="1">AVERAGE(OFFSET($AM$3,0,0,'Données projet'!$E$10+1,1))-AVERAGE(OFFSET($H$3,0,0,'Données projet'!$E$10+1,1))</f>
        <v>170.79567854714986</v>
      </c>
      <c r="AO109" s="60">
        <f t="shared" si="90"/>
        <v>155.92788004111191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-1.1368683772161603E-13</v>
      </c>
      <c r="BE109" s="14">
        <f>BD109*VLOOKUP('Données projet'!$B$11,Paramètres!$A$1:$I$89,3,0)*VLOOKUP('Données projet'!$B$11,Paramètres!$A$1:$I$89,5,0)</f>
        <v>-9.2222762759774927E-14</v>
      </c>
      <c r="BF109" s="14" t="e">
        <f t="shared" si="91"/>
        <v>#NUM!</v>
      </c>
      <c r="BG109" s="22" t="e">
        <f t="shared" si="61"/>
        <v>#NUM!</v>
      </c>
      <c r="BH109" s="60" t="e">
        <f t="shared" si="62"/>
        <v>#NUM!</v>
      </c>
      <c r="BI109" s="60">
        <f ca="1">AVERAGE(OFFSET($BH$3,0,0,'Données projet'!$E$11+1,1))-AVERAGE(OFFSET($H$3,0,0,'Données projet'!$E$11+1,1))</f>
        <v>256.19915261735281</v>
      </c>
      <c r="BJ109" s="60">
        <f t="shared" si="92"/>
        <v>297.47246687305056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2.8205128205128216</v>
      </c>
      <c r="BY109" s="13">
        <f>IF('Données projet'!$A$114&gt;35,BY108+BX109-CG108,IF(A109&lt;'Données projet'!$A$114,$BV$205^A109,IF(A109='Données projet'!$A$114,'Données projet'!$B$114,BY108+BX109-CG108)))</f>
        <v>222.69230769230768</v>
      </c>
      <c r="BZ109" s="14">
        <f>BY109*VLOOKUP('Données projet'!$B$12,Paramètres!$A$1:$I$89,3,0)*VLOOKUP('Données projet'!$B$12,Paramètres!$A$1:$I$89,5,0)</f>
        <v>211.91399999999999</v>
      </c>
      <c r="CA109" s="14">
        <f t="shared" si="93"/>
        <v>52.353621737631713</v>
      </c>
      <c r="CB109" s="22">
        <f t="shared" si="64"/>
        <v>460.26610785970848</v>
      </c>
      <c r="CC109" s="60">
        <f t="shared" si="65"/>
        <v>753.5994411930418</v>
      </c>
      <c r="CD109" s="60">
        <f ca="1">AVERAGE(OFFSET($CC$3,0,0,'Données projet'!$E$12+1,1))-AVERAGE(OFFSET($H$3,0,0,'Données projet'!$E$12+1,1))</f>
        <v>353.53401919391234</v>
      </c>
      <c r="CE109" s="60">
        <f t="shared" si="94"/>
        <v>244.7141066773861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4</v>
      </c>
      <c r="CT109" s="13">
        <f>IF('Données projet'!$A$140&gt;35,CT108+CS109-DB108,IF(A109&lt;'Données projet'!$A$140,$CQ$205^A109,IF(A109='Données projet'!$A$140,'Données projet'!$B$140,CT108+CS109-DB108)))</f>
        <v>267.99999999999972</v>
      </c>
      <c r="CU109" s="18">
        <f>CT109*VLOOKUP('Données projet'!$B$13,Paramètres!$A$1:$I$89,3,0)*VLOOKUP('Données projet'!$B$13,Paramètres!$A$1:$I$89,5,0)</f>
        <v>225.76319999999978</v>
      </c>
      <c r="CV109" s="14">
        <f t="shared" si="95"/>
        <v>55.365597375021352</v>
      </c>
      <c r="CW109" s="22">
        <f t="shared" si="67"/>
        <v>489.6326554281618</v>
      </c>
      <c r="CX109" s="60">
        <f t="shared" si="68"/>
        <v>782.96598876149505</v>
      </c>
      <c r="CY109" s="60">
        <f ca="1">AVERAGE(OFFSET($CX$3,0,0,'Données projet'!$E$13+1,1))-AVERAGE(OFFSET($H$3,0,0,'Données projet'!$E$13+1,1))</f>
        <v>403.33327536410098</v>
      </c>
      <c r="CZ109" s="60">
        <f t="shared" si="96"/>
        <v>218.26721063098552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3.4106051316484809E-13</v>
      </c>
      <c r="DP109" s="18">
        <f>DO109*VLOOKUP('Données projet'!$B$14,Paramètres!$A$1:$I$89,3,0)*VLOOKUP('Données projet'!$B$14,Paramètres!$A$1:$I$89,5,0)</f>
        <v>2.7134774427395314E-13</v>
      </c>
      <c r="DQ109" s="14">
        <f t="shared" si="97"/>
        <v>3.6292411711343559E-12</v>
      </c>
      <c r="DR109" s="22">
        <f t="shared" si="70"/>
        <v>6.7935256943361388E-12</v>
      </c>
      <c r="DS109" s="60">
        <f t="shared" si="71"/>
        <v>293.33333333334014</v>
      </c>
      <c r="DT109" s="60">
        <f ca="1">AVERAGE(OFFSET($DS$3,0,0,'Données projet'!$E$14+1,1))-AVERAGE(OFFSET($H$3,0,0,'Données projet'!$E$14+1,1))</f>
        <v>317.13087551964747</v>
      </c>
      <c r="DU109" s="60">
        <f t="shared" si="98"/>
        <v>293.43300041793185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1.7053025658242404E-13</v>
      </c>
      <c r="EK109" s="18">
        <f>EJ109*VLOOKUP('Données projet'!$B$15,Paramètres!$A$1:$I$89,3,0)*VLOOKUP('Données projet'!$B$15,Paramètres!$A$1:$I$89,5,0)</f>
        <v>1.3567387213697657E-13</v>
      </c>
      <c r="EL109" s="14">
        <f t="shared" si="99"/>
        <v>1.9670967679808581E-12</v>
      </c>
      <c r="EM109" s="22">
        <f t="shared" si="73"/>
        <v>3.6623255315385623E-12</v>
      </c>
      <c r="EN109" s="60">
        <f t="shared" si="74"/>
        <v>293.33333333333695</v>
      </c>
      <c r="EO109" s="60">
        <f ca="1">AVERAGE(OFFSET($EN$3,0,0,'Données projet'!$E$15+1,1))-AVERAGE(OFFSET($H$3,0,0,'Données projet'!$E$15+1,1))</f>
        <v>253.03289960511904</v>
      </c>
      <c r="EP109" s="60">
        <f t="shared" si="100"/>
        <v>236.85088713056018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1.7053025658242404E-13</v>
      </c>
      <c r="FF109" s="18">
        <f>FE109*VLOOKUP('Données projet'!$B$16,Paramètres!$A$1:$I$89,3,0)*VLOOKUP('Données projet'!$B$16,Paramètres!$A$1:$I$89,5,0)</f>
        <v>1.4897523215040567E-13</v>
      </c>
      <c r="FG109" s="14">
        <f t="shared" si="101"/>
        <v>2.136562777003313E-12</v>
      </c>
      <c r="FH109" s="22">
        <f t="shared" si="76"/>
        <v>3.9806453659427267E-12</v>
      </c>
      <c r="FI109" s="60">
        <f t="shared" si="77"/>
        <v>293.33333333333729</v>
      </c>
      <c r="FJ109" s="60">
        <f ca="1">AVERAGE(OFFSET($FI$3,0,0,'Données projet'!$E$16+1,1))-AVERAGE(OFFSET($H$3,0,0,'Données projet'!$E$16+1,1))</f>
        <v>274.38315511766132</v>
      </c>
      <c r="FK109" s="60">
        <f t="shared" si="102"/>
        <v>255.96663040027175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-1.1368683772161603E-13</v>
      </c>
      <c r="GA109" s="18">
        <f>FZ109*VLOOKUP('Données projet'!$B$17,Paramètres!$A$1:$I$89,3,0)*VLOOKUP('Données projet'!$B$17,Paramètres!$A$1:$I$89,5,0)</f>
        <v>-9.7543306765146564E-14</v>
      </c>
      <c r="GB109" s="14" t="e">
        <f t="shared" si="103"/>
        <v>#NUM!</v>
      </c>
      <c r="GC109" s="22" t="e">
        <f t="shared" si="79"/>
        <v>#NUM!</v>
      </c>
      <c r="GD109" s="60" t="e">
        <f t="shared" si="80"/>
        <v>#NUM!</v>
      </c>
      <c r="GE109" s="60">
        <f ca="1">AVERAGE(OFFSET($GD$3,0,0,'Données projet'!$E$17+1,1))-AVERAGE(OFFSET($H$3,0,0,'Données projet'!$E$17+1,1))</f>
        <v>445.81166342116865</v>
      </c>
      <c r="GF109" s="60">
        <f t="shared" si="104"/>
        <v>230.82970731138215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5.6843418860808015E-14</v>
      </c>
      <c r="GV109" s="18">
        <f>GU109*VLOOKUP('Données projet'!$B$18,Paramètres!$A$1:$I$89,3,0)*VLOOKUP('Données projet'!$B$18,Paramètres!$A$1:$I$89,5,0)</f>
        <v>4.4337866711430253E-14</v>
      </c>
      <c r="GW109" s="14">
        <f t="shared" si="105"/>
        <v>7.3222115536967035E-13</v>
      </c>
      <c r="GX109" s="22">
        <f t="shared" si="82"/>
        <v>1.3525069634579169E-12</v>
      </c>
      <c r="GY109" s="60">
        <f t="shared" si="83"/>
        <v>293.33333333333468</v>
      </c>
      <c r="GZ109" s="60">
        <f ca="1">AVERAGE(OFFSET($GY$3,0,0,'Données projet'!$E$18+1,1))-AVERAGE(OFFSET($H$3,0,0,'Données projet'!$E$18+1,1))</f>
        <v>289.19475369871481</v>
      </c>
      <c r="HA109" s="60">
        <f t="shared" si="106"/>
        <v>283.48738729114024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projet'!$B$18,Paramètres!$A$1:$I$89,3,0)*0.475*44/12</f>
        <v>0</v>
      </c>
      <c r="HH109" s="23">
        <f>EXP(-LN(2)/25)*HH108+(1-EXP(-LN(2)/25))/(LN(2)/25)*Calculateur!HC109*Calculateur!HE109*VLOOKUP('Données projet'!$B$18,Paramètres!$A$1:$I$89,3,0)*0.475*44/12</f>
        <v>0</v>
      </c>
      <c r="HI109" s="23">
        <f>EXP(-LN(2)/2)*HI108+(1-EXP(-LN(2)/2))/(LN(2)/2)*HC109*HF109*VLOOKUP('Données projet'!$B$18,Paramètres!$A$1:$I$89,3,0)*0.475*44/12</f>
        <v>0</v>
      </c>
      <c r="HJ109" s="24">
        <f t="shared" si="84"/>
        <v>0</v>
      </c>
    </row>
    <row r="110" spans="1:218" s="5" customFormat="1" x14ac:dyDescent="0.3">
      <c r="A110" s="11">
        <f t="shared" si="85"/>
        <v>107</v>
      </c>
      <c r="B110" s="75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8">
        <f t="shared" si="56"/>
        <v>256.66666666666669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</v>
      </c>
      <c r="N110" s="14">
        <f>IF('Données projet'!$A$36&gt;35,N109+M110-V109,IF(A110&lt;'Données projet'!$A$36,$K$205^A110,IF(A110='Données projet'!$A$36,'Données projet'!$B$36,N109+M110-V109)))</f>
        <v>271.99999999999972</v>
      </c>
      <c r="O110" s="14">
        <f>N110*VLOOKUP('Données projet'!$B$9,Paramètres!$A$1:$I$89,3,0)*VLOOKUP('Données projet'!$B$9,Paramètres!$A$1:$I$89,5,0)</f>
        <v>263.0783999999997</v>
      </c>
      <c r="P110" s="14">
        <f t="shared" si="87"/>
        <v>63.378118242127854</v>
      </c>
      <c r="Q110" s="22">
        <f t="shared" si="107"/>
        <v>568.57843593837208</v>
      </c>
      <c r="R110" s="60">
        <f t="shared" si="55"/>
        <v>861.91176927170545</v>
      </c>
      <c r="S110" s="60">
        <f ca="1">AVERAGE(OFFSET($R$3,0,0,'Données projet'!$E$9+1,1))-AVERAGE(OFFSET($H$3,0,0,'Données projet'!$E$9+1,1))</f>
        <v>456.86147223520601</v>
      </c>
      <c r="T110" s="60">
        <f t="shared" si="88"/>
        <v>244.45149244446094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2.5579538487363607E-13</v>
      </c>
      <c r="AJ110" s="14">
        <f>AI110*VLOOKUP('Données projet'!$B$10,Paramètres!$A$1:$I$89,3,0)*VLOOKUP('Données projet'!$B$10,Paramètres!$A$1:$I$89,5,0)</f>
        <v>1.6759713616920635E-13</v>
      </c>
      <c r="AK110" s="14">
        <f t="shared" si="89"/>
        <v>2.3709043131075133E-12</v>
      </c>
      <c r="AL110" s="22">
        <f t="shared" si="58"/>
        <v>4.4212233574902864E-12</v>
      </c>
      <c r="AM110" s="60">
        <f t="shared" si="59"/>
        <v>293.33333333333775</v>
      </c>
      <c r="AN110" s="60">
        <f ca="1">AVERAGE(OFFSET($AM$3,0,0,'Données projet'!$E$10+1,1))-AVERAGE(OFFSET($H$3,0,0,'Données projet'!$E$10+1,1))</f>
        <v>170.79567854714986</v>
      </c>
      <c r="AO110" s="60">
        <f t="shared" si="90"/>
        <v>155.92788004111191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-1.1368683772161603E-13</v>
      </c>
      <c r="BE110" s="14">
        <f>BD110*VLOOKUP('Données projet'!$B$11,Paramètres!$A$1:$I$89,3,0)*VLOOKUP('Données projet'!$B$11,Paramètres!$A$1:$I$89,5,0)</f>
        <v>-9.2222762759774927E-14</v>
      </c>
      <c r="BF110" s="14" t="e">
        <f t="shared" si="91"/>
        <v>#NUM!</v>
      </c>
      <c r="BG110" s="22" t="e">
        <f t="shared" si="61"/>
        <v>#NUM!</v>
      </c>
      <c r="BH110" s="60" t="e">
        <f t="shared" si="62"/>
        <v>#NUM!</v>
      </c>
      <c r="BI110" s="60">
        <f ca="1">AVERAGE(OFFSET($BH$3,0,0,'Données projet'!$E$11+1,1))-AVERAGE(OFFSET($H$3,0,0,'Données projet'!$E$11+1,1))</f>
        <v>256.19915261735281</v>
      </c>
      <c r="BJ110" s="60">
        <f t="shared" si="92"/>
        <v>297.47246687305056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2.8205128205128216</v>
      </c>
      <c r="BY110" s="13">
        <f>IF('Données projet'!$A$114&gt;35,BY109+BX110-CG109,IF(A110&lt;'Données projet'!$A$114,$BV$205^A110,IF(A110='Données projet'!$A$114,'Données projet'!$B$114,BY109+BX110-CG109)))</f>
        <v>225.5128205128205</v>
      </c>
      <c r="BZ110" s="14">
        <f>BY110*VLOOKUP('Données projet'!$B$12,Paramètres!$A$1:$I$89,3,0)*VLOOKUP('Données projet'!$B$12,Paramètres!$A$1:$I$89,5,0)</f>
        <v>214.59800000000001</v>
      </c>
      <c r="CA110" s="14">
        <f t="shared" si="93"/>
        <v>52.939094303283817</v>
      </c>
      <c r="CB110" s="22">
        <f t="shared" si="64"/>
        <v>465.96043924488595</v>
      </c>
      <c r="CC110" s="60">
        <f t="shared" si="65"/>
        <v>759.2937725782192</v>
      </c>
      <c r="CD110" s="60">
        <f ca="1">AVERAGE(OFFSET($CC$3,0,0,'Données projet'!$E$12+1,1))-AVERAGE(OFFSET($H$3,0,0,'Données projet'!$E$12+1,1))</f>
        <v>353.53401919391234</v>
      </c>
      <c r="CE110" s="60">
        <f t="shared" si="94"/>
        <v>244.7141066773861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4</v>
      </c>
      <c r="CT110" s="13">
        <f>IF('Données projet'!$A$140&gt;35,CT109+CS110-DB109,IF(A110&lt;'Données projet'!$A$140,$CQ$205^A110,IF(A110='Données projet'!$A$140,'Données projet'!$B$140,CT109+CS110-DB109)))</f>
        <v>271.99999999999972</v>
      </c>
      <c r="CU110" s="18">
        <f>CT110*VLOOKUP('Données projet'!$B$13,Paramètres!$A$1:$I$89,3,0)*VLOOKUP('Données projet'!$B$13,Paramètres!$A$1:$I$89,5,0)</f>
        <v>229.13279999999978</v>
      </c>
      <c r="CV110" s="14">
        <f t="shared" si="95"/>
        <v>56.095131411326882</v>
      </c>
      <c r="CW110" s="22">
        <f t="shared" si="67"/>
        <v>496.77198054139399</v>
      </c>
      <c r="CX110" s="60">
        <f t="shared" si="68"/>
        <v>790.10531387472724</v>
      </c>
      <c r="CY110" s="60">
        <f ca="1">AVERAGE(OFFSET($CX$3,0,0,'Données projet'!$E$13+1,1))-AVERAGE(OFFSET($H$3,0,0,'Données projet'!$E$13+1,1))</f>
        <v>403.33327536410098</v>
      </c>
      <c r="CZ110" s="60">
        <f t="shared" si="96"/>
        <v>218.26721063098552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3.4106051316484809E-13</v>
      </c>
      <c r="DP110" s="18">
        <f>DO110*VLOOKUP('Données projet'!$B$14,Paramètres!$A$1:$I$89,3,0)*VLOOKUP('Données projet'!$B$14,Paramètres!$A$1:$I$89,5,0)</f>
        <v>2.7134774427395314E-13</v>
      </c>
      <c r="DQ110" s="14">
        <f t="shared" si="97"/>
        <v>3.6292411711343559E-12</v>
      </c>
      <c r="DR110" s="22">
        <f t="shared" si="70"/>
        <v>6.7935256943361388E-12</v>
      </c>
      <c r="DS110" s="60">
        <f t="shared" si="71"/>
        <v>293.33333333334014</v>
      </c>
      <c r="DT110" s="60">
        <f ca="1">AVERAGE(OFFSET($DS$3,0,0,'Données projet'!$E$14+1,1))-AVERAGE(OFFSET($H$3,0,0,'Données projet'!$E$14+1,1))</f>
        <v>317.13087551964747</v>
      </c>
      <c r="DU110" s="60">
        <f t="shared" si="98"/>
        <v>293.43300041793185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1.7053025658242404E-13</v>
      </c>
      <c r="EK110" s="18">
        <f>EJ110*VLOOKUP('Données projet'!$B$15,Paramètres!$A$1:$I$89,3,0)*VLOOKUP('Données projet'!$B$15,Paramètres!$A$1:$I$89,5,0)</f>
        <v>1.3567387213697657E-13</v>
      </c>
      <c r="EL110" s="14">
        <f t="shared" si="99"/>
        <v>1.9670967679808581E-12</v>
      </c>
      <c r="EM110" s="22">
        <f t="shared" si="73"/>
        <v>3.6623255315385623E-12</v>
      </c>
      <c r="EN110" s="60">
        <f t="shared" si="74"/>
        <v>293.33333333333695</v>
      </c>
      <c r="EO110" s="60">
        <f ca="1">AVERAGE(OFFSET($EN$3,0,0,'Données projet'!$E$15+1,1))-AVERAGE(OFFSET($H$3,0,0,'Données projet'!$E$15+1,1))</f>
        <v>253.03289960511904</v>
      </c>
      <c r="EP110" s="60">
        <f t="shared" si="100"/>
        <v>236.85088713056018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1.7053025658242404E-13</v>
      </c>
      <c r="FF110" s="18">
        <f>FE110*VLOOKUP('Données projet'!$B$16,Paramètres!$A$1:$I$89,3,0)*VLOOKUP('Données projet'!$B$16,Paramètres!$A$1:$I$89,5,0)</f>
        <v>1.4897523215040567E-13</v>
      </c>
      <c r="FG110" s="14">
        <f t="shared" si="101"/>
        <v>2.136562777003313E-12</v>
      </c>
      <c r="FH110" s="22">
        <f t="shared" si="76"/>
        <v>3.9806453659427267E-12</v>
      </c>
      <c r="FI110" s="60">
        <f t="shared" si="77"/>
        <v>293.33333333333729</v>
      </c>
      <c r="FJ110" s="60">
        <f ca="1">AVERAGE(OFFSET($FI$3,0,0,'Données projet'!$E$16+1,1))-AVERAGE(OFFSET($H$3,0,0,'Données projet'!$E$16+1,1))</f>
        <v>274.38315511766132</v>
      </c>
      <c r="FK110" s="60">
        <f t="shared" si="102"/>
        <v>255.96663040027175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-1.1368683772161603E-13</v>
      </c>
      <c r="GA110" s="18">
        <f>FZ110*VLOOKUP('Données projet'!$B$17,Paramètres!$A$1:$I$89,3,0)*VLOOKUP('Données projet'!$B$17,Paramètres!$A$1:$I$89,5,0)</f>
        <v>-9.7543306765146564E-14</v>
      </c>
      <c r="GB110" s="14" t="e">
        <f t="shared" si="103"/>
        <v>#NUM!</v>
      </c>
      <c r="GC110" s="22" t="e">
        <f t="shared" si="79"/>
        <v>#NUM!</v>
      </c>
      <c r="GD110" s="60" t="e">
        <f t="shared" si="80"/>
        <v>#NUM!</v>
      </c>
      <c r="GE110" s="60">
        <f ca="1">AVERAGE(OFFSET($GD$3,0,0,'Données projet'!$E$17+1,1))-AVERAGE(OFFSET($H$3,0,0,'Données projet'!$E$17+1,1))</f>
        <v>445.81166342116865</v>
      </c>
      <c r="GF110" s="60">
        <f t="shared" si="104"/>
        <v>230.82970731138215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5.6843418860808015E-14</v>
      </c>
      <c r="GV110" s="18">
        <f>GU110*VLOOKUP('Données projet'!$B$18,Paramètres!$A$1:$I$89,3,0)*VLOOKUP('Données projet'!$B$18,Paramètres!$A$1:$I$89,5,0)</f>
        <v>4.4337866711430253E-14</v>
      </c>
      <c r="GW110" s="14">
        <f t="shared" si="105"/>
        <v>7.3222115536967035E-13</v>
      </c>
      <c r="GX110" s="22">
        <f t="shared" si="82"/>
        <v>1.3525069634579169E-12</v>
      </c>
      <c r="GY110" s="60">
        <f t="shared" si="83"/>
        <v>293.33333333333468</v>
      </c>
      <c r="GZ110" s="60">
        <f ca="1">AVERAGE(OFFSET($GY$3,0,0,'Données projet'!$E$18+1,1))-AVERAGE(OFFSET($H$3,0,0,'Données projet'!$E$18+1,1))</f>
        <v>289.19475369871481</v>
      </c>
      <c r="HA110" s="60">
        <f t="shared" si="106"/>
        <v>283.48738729114024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projet'!$B$18,Paramètres!$A$1:$I$89,3,0)*0.475*44/12</f>
        <v>0</v>
      </c>
      <c r="HH110" s="23">
        <f>EXP(-LN(2)/25)*HH109+(1-EXP(-LN(2)/25))/(LN(2)/25)*Calculateur!HC110*Calculateur!HE110*VLOOKUP('Données projet'!$B$18,Paramètres!$A$1:$I$89,3,0)*0.475*44/12</f>
        <v>0</v>
      </c>
      <c r="HI110" s="23">
        <f>EXP(-LN(2)/2)*HI109+(1-EXP(-LN(2)/2))/(LN(2)/2)*HC110*HF110*VLOOKUP('Données projet'!$B$18,Paramètres!$A$1:$I$89,3,0)*0.475*44/12</f>
        <v>0</v>
      </c>
      <c r="HJ110" s="24">
        <f t="shared" si="84"/>
        <v>0</v>
      </c>
    </row>
    <row r="111" spans="1:218" s="5" customFormat="1" x14ac:dyDescent="0.3">
      <c r="A111" s="11">
        <f t="shared" si="85"/>
        <v>108</v>
      </c>
      <c r="B111" s="75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8">
        <f t="shared" si="56"/>
        <v>256.66666666666669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</v>
      </c>
      <c r="N111" s="14">
        <f>IF('Données projet'!$A$36&gt;35,N110+M111-V110,IF(A111&lt;'Données projet'!$A$36,$K$205^A111,IF(A111='Données projet'!$A$36,'Données projet'!$B$36,N110+M111-V110)))</f>
        <v>275.99999999999972</v>
      </c>
      <c r="O111" s="14">
        <f>N111*VLOOKUP('Données projet'!$B$9,Paramètres!$A$1:$I$89,3,0)*VLOOKUP('Données projet'!$B$9,Paramètres!$A$1:$I$89,5,0)</f>
        <v>266.94719999999973</v>
      </c>
      <c r="P111" s="14">
        <f t="shared" si="87"/>
        <v>64.200959938746323</v>
      </c>
      <c r="Q111" s="22">
        <f t="shared" si="107"/>
        <v>576.74971189331598</v>
      </c>
      <c r="R111" s="60">
        <f t="shared" si="55"/>
        <v>870.08304522664935</v>
      </c>
      <c r="S111" s="60">
        <f ca="1">AVERAGE(OFFSET($R$3,0,0,'Données projet'!$E$9+1,1))-AVERAGE(OFFSET($H$3,0,0,'Données projet'!$E$9+1,1))</f>
        <v>456.86147223520601</v>
      </c>
      <c r="T111" s="60">
        <f t="shared" si="88"/>
        <v>244.45149244446094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2.5579538487363607E-13</v>
      </c>
      <c r="AJ111" s="14">
        <f>AI111*VLOOKUP('Données projet'!$B$10,Paramètres!$A$1:$I$89,3,0)*VLOOKUP('Données projet'!$B$10,Paramètres!$A$1:$I$89,5,0)</f>
        <v>1.6759713616920635E-13</v>
      </c>
      <c r="AK111" s="14">
        <f t="shared" si="89"/>
        <v>2.3709043131075133E-12</v>
      </c>
      <c r="AL111" s="22">
        <f t="shared" si="58"/>
        <v>4.4212233574902864E-12</v>
      </c>
      <c r="AM111" s="60">
        <f t="shared" si="59"/>
        <v>293.33333333333775</v>
      </c>
      <c r="AN111" s="60">
        <f ca="1">AVERAGE(OFFSET($AM$3,0,0,'Données projet'!$E$10+1,1))-AVERAGE(OFFSET($H$3,0,0,'Données projet'!$E$10+1,1))</f>
        <v>170.79567854714986</v>
      </c>
      <c r="AO111" s="60">
        <f t="shared" si="90"/>
        <v>155.92788004111191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-1.1368683772161603E-13</v>
      </c>
      <c r="BE111" s="14">
        <f>BD111*VLOOKUP('Données projet'!$B$11,Paramètres!$A$1:$I$89,3,0)*VLOOKUP('Données projet'!$B$11,Paramètres!$A$1:$I$89,5,0)</f>
        <v>-9.2222762759774927E-14</v>
      </c>
      <c r="BF111" s="14" t="e">
        <f t="shared" si="91"/>
        <v>#NUM!</v>
      </c>
      <c r="BG111" s="22" t="e">
        <f t="shared" si="61"/>
        <v>#NUM!</v>
      </c>
      <c r="BH111" s="60" t="e">
        <f t="shared" si="62"/>
        <v>#NUM!</v>
      </c>
      <c r="BI111" s="60">
        <f ca="1">AVERAGE(OFFSET($BH$3,0,0,'Données projet'!$E$11+1,1))-AVERAGE(OFFSET($H$3,0,0,'Données projet'!$E$11+1,1))</f>
        <v>256.19915261735281</v>
      </c>
      <c r="BJ111" s="60">
        <f t="shared" si="92"/>
        <v>297.47246687305056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2.8205128205128216</v>
      </c>
      <c r="BY111" s="13">
        <f>IF('Données projet'!$A$114&gt;35,BY110+BX111-CG110,IF(A111&lt;'Données projet'!$A$114,$BV$205^A111,IF(A111='Données projet'!$A$114,'Données projet'!$B$114,BY110+BX111-CG110)))</f>
        <v>228.33333333333331</v>
      </c>
      <c r="BZ111" s="14">
        <f>BY111*VLOOKUP('Données projet'!$B$12,Paramètres!$A$1:$I$89,3,0)*VLOOKUP('Données projet'!$B$12,Paramètres!$A$1:$I$89,5,0)</f>
        <v>217.28200000000001</v>
      </c>
      <c r="CA111" s="14">
        <f t="shared" si="93"/>
        <v>53.523715118716432</v>
      </c>
      <c r="CB111" s="22">
        <f t="shared" si="64"/>
        <v>471.65328716509777</v>
      </c>
      <c r="CC111" s="60">
        <f t="shared" si="65"/>
        <v>764.98662049843108</v>
      </c>
      <c r="CD111" s="60">
        <f ca="1">AVERAGE(OFFSET($CC$3,0,0,'Données projet'!$E$12+1,1))-AVERAGE(OFFSET($H$3,0,0,'Données projet'!$E$12+1,1))</f>
        <v>353.53401919391234</v>
      </c>
      <c r="CE111" s="60">
        <f t="shared" si="94"/>
        <v>244.7141066773861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4</v>
      </c>
      <c r="CT111" s="13">
        <f>IF('Données projet'!$A$140&gt;35,CT110+CS111-DB110,IF(A111&lt;'Données projet'!$A$140,$CQ$205^A111,IF(A111='Données projet'!$A$140,'Données projet'!$B$140,CT110+CS111-DB110)))</f>
        <v>275.99999999999972</v>
      </c>
      <c r="CU111" s="18">
        <f>CT111*VLOOKUP('Données projet'!$B$13,Paramètres!$A$1:$I$89,3,0)*VLOOKUP('Données projet'!$B$13,Paramètres!$A$1:$I$89,5,0)</f>
        <v>232.50239999999977</v>
      </c>
      <c r="CV111" s="14">
        <f t="shared" si="95"/>
        <v>56.823417677671891</v>
      </c>
      <c r="CW111" s="22">
        <f t="shared" si="67"/>
        <v>503.9091324552781</v>
      </c>
      <c r="CX111" s="60">
        <f t="shared" si="68"/>
        <v>797.24246578861141</v>
      </c>
      <c r="CY111" s="60">
        <f ca="1">AVERAGE(OFFSET($CX$3,0,0,'Données projet'!$E$13+1,1))-AVERAGE(OFFSET($H$3,0,0,'Données projet'!$E$13+1,1))</f>
        <v>403.33327536410098</v>
      </c>
      <c r="CZ111" s="60">
        <f t="shared" si="96"/>
        <v>218.26721063098552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3.4106051316484809E-13</v>
      </c>
      <c r="DP111" s="18">
        <f>DO111*VLOOKUP('Données projet'!$B$14,Paramètres!$A$1:$I$89,3,0)*VLOOKUP('Données projet'!$B$14,Paramètres!$A$1:$I$89,5,0)</f>
        <v>2.7134774427395314E-13</v>
      </c>
      <c r="DQ111" s="14">
        <f t="shared" si="97"/>
        <v>3.6292411711343559E-12</v>
      </c>
      <c r="DR111" s="22">
        <f t="shared" si="70"/>
        <v>6.7935256943361388E-12</v>
      </c>
      <c r="DS111" s="60">
        <f t="shared" si="71"/>
        <v>293.33333333334014</v>
      </c>
      <c r="DT111" s="60">
        <f ca="1">AVERAGE(OFFSET($DS$3,0,0,'Données projet'!$E$14+1,1))-AVERAGE(OFFSET($H$3,0,0,'Données projet'!$E$14+1,1))</f>
        <v>317.13087551964747</v>
      </c>
      <c r="DU111" s="60">
        <f t="shared" si="98"/>
        <v>293.43300041793185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1.7053025658242404E-13</v>
      </c>
      <c r="EK111" s="18">
        <f>EJ111*VLOOKUP('Données projet'!$B$15,Paramètres!$A$1:$I$89,3,0)*VLOOKUP('Données projet'!$B$15,Paramètres!$A$1:$I$89,5,0)</f>
        <v>1.3567387213697657E-13</v>
      </c>
      <c r="EL111" s="14">
        <f t="shared" si="99"/>
        <v>1.9670967679808581E-12</v>
      </c>
      <c r="EM111" s="22">
        <f t="shared" si="73"/>
        <v>3.6623255315385623E-12</v>
      </c>
      <c r="EN111" s="60">
        <f t="shared" si="74"/>
        <v>293.33333333333695</v>
      </c>
      <c r="EO111" s="60">
        <f ca="1">AVERAGE(OFFSET($EN$3,0,0,'Données projet'!$E$15+1,1))-AVERAGE(OFFSET($H$3,0,0,'Données projet'!$E$15+1,1))</f>
        <v>253.03289960511904</v>
      </c>
      <c r="EP111" s="60">
        <f t="shared" si="100"/>
        <v>236.85088713056018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1.7053025658242404E-13</v>
      </c>
      <c r="FF111" s="18">
        <f>FE111*VLOOKUP('Données projet'!$B$16,Paramètres!$A$1:$I$89,3,0)*VLOOKUP('Données projet'!$B$16,Paramètres!$A$1:$I$89,5,0)</f>
        <v>1.4897523215040567E-13</v>
      </c>
      <c r="FG111" s="14">
        <f t="shared" si="101"/>
        <v>2.136562777003313E-12</v>
      </c>
      <c r="FH111" s="22">
        <f t="shared" si="76"/>
        <v>3.9806453659427267E-12</v>
      </c>
      <c r="FI111" s="60">
        <f t="shared" si="77"/>
        <v>293.33333333333729</v>
      </c>
      <c r="FJ111" s="60">
        <f ca="1">AVERAGE(OFFSET($FI$3,0,0,'Données projet'!$E$16+1,1))-AVERAGE(OFFSET($H$3,0,0,'Données projet'!$E$16+1,1))</f>
        <v>274.38315511766132</v>
      </c>
      <c r="FK111" s="60">
        <f t="shared" si="102"/>
        <v>255.96663040027175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-1.1368683772161603E-13</v>
      </c>
      <c r="GA111" s="18">
        <f>FZ111*VLOOKUP('Données projet'!$B$17,Paramètres!$A$1:$I$89,3,0)*VLOOKUP('Données projet'!$B$17,Paramètres!$A$1:$I$89,5,0)</f>
        <v>-9.7543306765146564E-14</v>
      </c>
      <c r="GB111" s="14" t="e">
        <f t="shared" si="103"/>
        <v>#NUM!</v>
      </c>
      <c r="GC111" s="22" t="e">
        <f t="shared" si="79"/>
        <v>#NUM!</v>
      </c>
      <c r="GD111" s="60" t="e">
        <f t="shared" si="80"/>
        <v>#NUM!</v>
      </c>
      <c r="GE111" s="60">
        <f ca="1">AVERAGE(OFFSET($GD$3,0,0,'Données projet'!$E$17+1,1))-AVERAGE(OFFSET($H$3,0,0,'Données projet'!$E$17+1,1))</f>
        <v>445.81166342116865</v>
      </c>
      <c r="GF111" s="60">
        <f t="shared" si="104"/>
        <v>230.82970731138215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5.6843418860808015E-14</v>
      </c>
      <c r="GV111" s="18">
        <f>GU111*VLOOKUP('Données projet'!$B$18,Paramètres!$A$1:$I$89,3,0)*VLOOKUP('Données projet'!$B$18,Paramètres!$A$1:$I$89,5,0)</f>
        <v>4.4337866711430253E-14</v>
      </c>
      <c r="GW111" s="14">
        <f t="shared" si="105"/>
        <v>7.3222115536967035E-13</v>
      </c>
      <c r="GX111" s="22">
        <f t="shared" si="82"/>
        <v>1.3525069634579169E-12</v>
      </c>
      <c r="GY111" s="60">
        <f t="shared" si="83"/>
        <v>293.33333333333468</v>
      </c>
      <c r="GZ111" s="60">
        <f ca="1">AVERAGE(OFFSET($GY$3,0,0,'Données projet'!$E$18+1,1))-AVERAGE(OFFSET($H$3,0,0,'Données projet'!$E$18+1,1))</f>
        <v>289.19475369871481</v>
      </c>
      <c r="HA111" s="60">
        <f t="shared" si="106"/>
        <v>283.48738729114024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projet'!$B$18,Paramètres!$A$1:$I$89,3,0)*0.475*44/12</f>
        <v>0</v>
      </c>
      <c r="HH111" s="23">
        <f>EXP(-LN(2)/25)*HH110+(1-EXP(-LN(2)/25))/(LN(2)/25)*Calculateur!HC111*Calculateur!HE111*VLOOKUP('Données projet'!$B$18,Paramètres!$A$1:$I$89,3,0)*0.475*44/12</f>
        <v>0</v>
      </c>
      <c r="HI111" s="23">
        <f>EXP(-LN(2)/2)*HI110+(1-EXP(-LN(2)/2))/(LN(2)/2)*HC111*HF111*VLOOKUP('Données projet'!$B$18,Paramètres!$A$1:$I$89,3,0)*0.475*44/12</f>
        <v>0</v>
      </c>
      <c r="HJ111" s="24">
        <f t="shared" si="84"/>
        <v>0</v>
      </c>
    </row>
    <row r="112" spans="1:218" s="5" customFormat="1" x14ac:dyDescent="0.3">
      <c r="A112" s="11">
        <f t="shared" si="85"/>
        <v>109</v>
      </c>
      <c r="B112" s="75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8">
        <f t="shared" si="56"/>
        <v>256.66666666666669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</v>
      </c>
      <c r="N112" s="14">
        <f>IF('Données projet'!$A$36&gt;35,N111+M112-V111,IF(A112&lt;'Données projet'!$A$36,$K$205^A112,IF(A112='Données projet'!$A$36,'Données projet'!$B$36,N111+M112-V111)))</f>
        <v>279.99999999999972</v>
      </c>
      <c r="O112" s="14">
        <f>N112*VLOOKUP('Données projet'!$B$9,Paramètres!$A$1:$I$89,3,0)*VLOOKUP('Données projet'!$B$9,Paramètres!$A$1:$I$89,5,0)</f>
        <v>270.81599999999975</v>
      </c>
      <c r="P112" s="14">
        <f t="shared" si="87"/>
        <v>65.022414656032254</v>
      </c>
      <c r="Q112" s="22">
        <f t="shared" si="107"/>
        <v>584.91857219258907</v>
      </c>
      <c r="R112" s="60">
        <f t="shared" si="55"/>
        <v>878.25190552592244</v>
      </c>
      <c r="S112" s="60">
        <f ca="1">AVERAGE(OFFSET($R$3,0,0,'Données projet'!$E$9+1,1))-AVERAGE(OFFSET($H$3,0,0,'Données projet'!$E$9+1,1))</f>
        <v>456.86147223520601</v>
      </c>
      <c r="T112" s="60">
        <f t="shared" si="88"/>
        <v>244.45149244446094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2.5579538487363607E-13</v>
      </c>
      <c r="AJ112" s="14">
        <f>AI112*VLOOKUP('Données projet'!$B$10,Paramètres!$A$1:$I$89,3,0)*VLOOKUP('Données projet'!$B$10,Paramètres!$A$1:$I$89,5,0)</f>
        <v>1.6759713616920635E-13</v>
      </c>
      <c r="AK112" s="14">
        <f t="shared" si="89"/>
        <v>2.3709043131075133E-12</v>
      </c>
      <c r="AL112" s="22">
        <f t="shared" si="58"/>
        <v>4.4212233574902864E-12</v>
      </c>
      <c r="AM112" s="60">
        <f t="shared" si="59"/>
        <v>293.33333333333775</v>
      </c>
      <c r="AN112" s="60">
        <f ca="1">AVERAGE(OFFSET($AM$3,0,0,'Données projet'!$E$10+1,1))-AVERAGE(OFFSET($H$3,0,0,'Données projet'!$E$10+1,1))</f>
        <v>170.79567854714986</v>
      </c>
      <c r="AO112" s="60">
        <f t="shared" si="90"/>
        <v>155.92788004111191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-1.1368683772161603E-13</v>
      </c>
      <c r="BE112" s="14">
        <f>BD112*VLOOKUP('Données projet'!$B$11,Paramètres!$A$1:$I$89,3,0)*VLOOKUP('Données projet'!$B$11,Paramètres!$A$1:$I$89,5,0)</f>
        <v>-9.2222762759774927E-14</v>
      </c>
      <c r="BF112" s="14" t="e">
        <f t="shared" si="91"/>
        <v>#NUM!</v>
      </c>
      <c r="BG112" s="22" t="e">
        <f t="shared" si="61"/>
        <v>#NUM!</v>
      </c>
      <c r="BH112" s="60" t="e">
        <f t="shared" si="62"/>
        <v>#NUM!</v>
      </c>
      <c r="BI112" s="60">
        <f ca="1">AVERAGE(OFFSET($BH$3,0,0,'Données projet'!$E$11+1,1))-AVERAGE(OFFSET($H$3,0,0,'Données projet'!$E$11+1,1))</f>
        <v>256.19915261735281</v>
      </c>
      <c r="BJ112" s="60">
        <f t="shared" si="92"/>
        <v>297.47246687305056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2.8205128205128216</v>
      </c>
      <c r="BY112" s="13">
        <f>IF('Données projet'!$A$114&gt;35,BY111+BX112-CG111,IF(A112&lt;'Données projet'!$A$114,$BV$205^A112,IF(A112='Données projet'!$A$114,'Données projet'!$B$114,BY111+BX112-CG111)))</f>
        <v>231.15384615384613</v>
      </c>
      <c r="BZ112" s="14">
        <f>BY112*VLOOKUP('Données projet'!$B$12,Paramètres!$A$1:$I$89,3,0)*VLOOKUP('Données projet'!$B$12,Paramètres!$A$1:$I$89,5,0)</f>
        <v>219.96599999999995</v>
      </c>
      <c r="CA112" s="14">
        <f t="shared" si="93"/>
        <v>54.107495922112264</v>
      </c>
      <c r="CB112" s="22">
        <f t="shared" si="64"/>
        <v>477.34467206434539</v>
      </c>
      <c r="CC112" s="60">
        <f t="shared" si="65"/>
        <v>770.6780053976787</v>
      </c>
      <c r="CD112" s="60">
        <f ca="1">AVERAGE(OFFSET($CC$3,0,0,'Données projet'!$E$12+1,1))-AVERAGE(OFFSET($H$3,0,0,'Données projet'!$E$12+1,1))</f>
        <v>353.53401919391234</v>
      </c>
      <c r="CE112" s="60">
        <f t="shared" si="94"/>
        <v>244.7141066773861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4</v>
      </c>
      <c r="CT112" s="13">
        <f>IF('Données projet'!$A$140&gt;35,CT111+CS112-DB111,IF(A112&lt;'Données projet'!$A$140,$CQ$205^A112,IF(A112='Données projet'!$A$140,'Données projet'!$B$140,CT111+CS112-DB111)))</f>
        <v>279.99999999999972</v>
      </c>
      <c r="CU112" s="18">
        <f>CT112*VLOOKUP('Données projet'!$B$13,Paramètres!$A$1:$I$89,3,0)*VLOOKUP('Données projet'!$B$13,Paramètres!$A$1:$I$89,5,0)</f>
        <v>235.87199999999976</v>
      </c>
      <c r="CV112" s="14">
        <f t="shared" si="95"/>
        <v>57.55047634701522</v>
      </c>
      <c r="CW112" s="22">
        <f t="shared" si="67"/>
        <v>511.04414630438441</v>
      </c>
      <c r="CX112" s="60">
        <f t="shared" si="68"/>
        <v>804.37747963771767</v>
      </c>
      <c r="CY112" s="60">
        <f ca="1">AVERAGE(OFFSET($CX$3,0,0,'Données projet'!$E$13+1,1))-AVERAGE(OFFSET($H$3,0,0,'Données projet'!$E$13+1,1))</f>
        <v>403.33327536410098</v>
      </c>
      <c r="CZ112" s="60">
        <f t="shared" si="96"/>
        <v>218.26721063098552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3.4106051316484809E-13</v>
      </c>
      <c r="DP112" s="18">
        <f>DO112*VLOOKUP('Données projet'!$B$14,Paramètres!$A$1:$I$89,3,0)*VLOOKUP('Données projet'!$B$14,Paramètres!$A$1:$I$89,5,0)</f>
        <v>2.7134774427395314E-13</v>
      </c>
      <c r="DQ112" s="14">
        <f t="shared" si="97"/>
        <v>3.6292411711343559E-12</v>
      </c>
      <c r="DR112" s="22">
        <f t="shared" si="70"/>
        <v>6.7935256943361388E-12</v>
      </c>
      <c r="DS112" s="60">
        <f t="shared" si="71"/>
        <v>293.33333333334014</v>
      </c>
      <c r="DT112" s="60">
        <f ca="1">AVERAGE(OFFSET($DS$3,0,0,'Données projet'!$E$14+1,1))-AVERAGE(OFFSET($H$3,0,0,'Données projet'!$E$14+1,1))</f>
        <v>317.13087551964747</v>
      </c>
      <c r="DU112" s="60">
        <f t="shared" si="98"/>
        <v>293.43300041793185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1.7053025658242404E-13</v>
      </c>
      <c r="EK112" s="18">
        <f>EJ112*VLOOKUP('Données projet'!$B$15,Paramètres!$A$1:$I$89,3,0)*VLOOKUP('Données projet'!$B$15,Paramètres!$A$1:$I$89,5,0)</f>
        <v>1.3567387213697657E-13</v>
      </c>
      <c r="EL112" s="14">
        <f t="shared" si="99"/>
        <v>1.9670967679808581E-12</v>
      </c>
      <c r="EM112" s="22">
        <f t="shared" si="73"/>
        <v>3.6623255315385623E-12</v>
      </c>
      <c r="EN112" s="60">
        <f t="shared" si="74"/>
        <v>293.33333333333695</v>
      </c>
      <c r="EO112" s="60">
        <f ca="1">AVERAGE(OFFSET($EN$3,0,0,'Données projet'!$E$15+1,1))-AVERAGE(OFFSET($H$3,0,0,'Données projet'!$E$15+1,1))</f>
        <v>253.03289960511904</v>
      </c>
      <c r="EP112" s="60">
        <f t="shared" si="100"/>
        <v>236.85088713056018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1.7053025658242404E-13</v>
      </c>
      <c r="FF112" s="18">
        <f>FE112*VLOOKUP('Données projet'!$B$16,Paramètres!$A$1:$I$89,3,0)*VLOOKUP('Données projet'!$B$16,Paramètres!$A$1:$I$89,5,0)</f>
        <v>1.4897523215040567E-13</v>
      </c>
      <c r="FG112" s="14">
        <f t="shared" si="101"/>
        <v>2.136562777003313E-12</v>
      </c>
      <c r="FH112" s="22">
        <f t="shared" si="76"/>
        <v>3.9806453659427267E-12</v>
      </c>
      <c r="FI112" s="60">
        <f t="shared" si="77"/>
        <v>293.33333333333729</v>
      </c>
      <c r="FJ112" s="60">
        <f ca="1">AVERAGE(OFFSET($FI$3,0,0,'Données projet'!$E$16+1,1))-AVERAGE(OFFSET($H$3,0,0,'Données projet'!$E$16+1,1))</f>
        <v>274.38315511766132</v>
      </c>
      <c r="FK112" s="60">
        <f t="shared" si="102"/>
        <v>255.96663040027175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-1.1368683772161603E-13</v>
      </c>
      <c r="GA112" s="18">
        <f>FZ112*VLOOKUP('Données projet'!$B$17,Paramètres!$A$1:$I$89,3,0)*VLOOKUP('Données projet'!$B$17,Paramètres!$A$1:$I$89,5,0)</f>
        <v>-9.7543306765146564E-14</v>
      </c>
      <c r="GB112" s="14" t="e">
        <f t="shared" si="103"/>
        <v>#NUM!</v>
      </c>
      <c r="GC112" s="22" t="e">
        <f t="shared" si="79"/>
        <v>#NUM!</v>
      </c>
      <c r="GD112" s="60" t="e">
        <f t="shared" si="80"/>
        <v>#NUM!</v>
      </c>
      <c r="GE112" s="60">
        <f ca="1">AVERAGE(OFFSET($GD$3,0,0,'Données projet'!$E$17+1,1))-AVERAGE(OFFSET($H$3,0,0,'Données projet'!$E$17+1,1))</f>
        <v>445.81166342116865</v>
      </c>
      <c r="GF112" s="60">
        <f t="shared" si="104"/>
        <v>230.82970731138215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5.6843418860808015E-14</v>
      </c>
      <c r="GV112" s="18">
        <f>GU112*VLOOKUP('Données projet'!$B$18,Paramètres!$A$1:$I$89,3,0)*VLOOKUP('Données projet'!$B$18,Paramètres!$A$1:$I$89,5,0)</f>
        <v>4.4337866711430253E-14</v>
      </c>
      <c r="GW112" s="14">
        <f t="shared" si="105"/>
        <v>7.3222115536967035E-13</v>
      </c>
      <c r="GX112" s="22">
        <f t="shared" si="82"/>
        <v>1.3525069634579169E-12</v>
      </c>
      <c r="GY112" s="60">
        <f t="shared" si="83"/>
        <v>293.33333333333468</v>
      </c>
      <c r="GZ112" s="60">
        <f ca="1">AVERAGE(OFFSET($GY$3,0,0,'Données projet'!$E$18+1,1))-AVERAGE(OFFSET($H$3,0,0,'Données projet'!$E$18+1,1))</f>
        <v>289.19475369871481</v>
      </c>
      <c r="HA112" s="60">
        <f t="shared" si="106"/>
        <v>283.48738729114024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projet'!$B$18,Paramètres!$A$1:$I$89,3,0)*0.475*44/12</f>
        <v>0</v>
      </c>
      <c r="HH112" s="23">
        <f>EXP(-LN(2)/25)*HH111+(1-EXP(-LN(2)/25))/(LN(2)/25)*Calculateur!HC112*Calculateur!HE112*VLOOKUP('Données projet'!$B$18,Paramètres!$A$1:$I$89,3,0)*0.475*44/12</f>
        <v>0</v>
      </c>
      <c r="HI112" s="23">
        <f>EXP(-LN(2)/2)*HI111+(1-EXP(-LN(2)/2))/(LN(2)/2)*HC112*HF112*VLOOKUP('Données projet'!$B$18,Paramètres!$A$1:$I$89,3,0)*0.475*44/12</f>
        <v>0</v>
      </c>
      <c r="HJ112" s="24">
        <f t="shared" si="84"/>
        <v>0</v>
      </c>
    </row>
    <row r="113" spans="1:218" s="5" customFormat="1" x14ac:dyDescent="0.3">
      <c r="A113" s="11">
        <f t="shared" si="85"/>
        <v>110</v>
      </c>
      <c r="B113" s="75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8">
        <f t="shared" si="56"/>
        <v>256.66666666666669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4</v>
      </c>
      <c r="N113" s="14">
        <f>IF('Données projet'!$A$36&gt;35,N112+M113-V112,IF(A113&lt;'Données projet'!$A$36,$K$205^A113,IF(A113='Données projet'!$A$36,'Données projet'!$B$36,N112+M113-V112)))</f>
        <v>283.99999999999972</v>
      </c>
      <c r="O113" s="14">
        <f>N113*VLOOKUP('Données projet'!$B$9,Paramètres!$A$1:$I$89,3,0)*VLOOKUP('Données projet'!$B$9,Paramètres!$A$1:$I$89,5,0)</f>
        <v>274.68479999999971</v>
      </c>
      <c r="P113" s="14">
        <f t="shared" si="87"/>
        <v>65.842504497456602</v>
      </c>
      <c r="Q113" s="22">
        <f t="shared" si="107"/>
        <v>593.0850553330697</v>
      </c>
      <c r="R113" s="60">
        <f t="shared" si="55"/>
        <v>886.41838866640296</v>
      </c>
      <c r="S113" s="60">
        <f ca="1">AVERAGE(OFFSET($R$3,0,0,'Données projet'!$E$9+1,1))-AVERAGE(OFFSET($H$3,0,0,'Données projet'!$E$9+1,1))</f>
        <v>456.86147223520601</v>
      </c>
      <c r="T113" s="60">
        <f t="shared" si="88"/>
        <v>244.45149244446094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2.5579538487363607E-13</v>
      </c>
      <c r="AJ113" s="14">
        <f>AI113*VLOOKUP('Données projet'!$B$10,Paramètres!$A$1:$I$89,3,0)*VLOOKUP('Données projet'!$B$10,Paramètres!$A$1:$I$89,5,0)</f>
        <v>1.6759713616920635E-13</v>
      </c>
      <c r="AK113" s="14">
        <f t="shared" si="89"/>
        <v>2.3709043131075133E-12</v>
      </c>
      <c r="AL113" s="22">
        <f t="shared" si="58"/>
        <v>4.4212233574902864E-12</v>
      </c>
      <c r="AM113" s="60">
        <f t="shared" si="59"/>
        <v>293.33333333333775</v>
      </c>
      <c r="AN113" s="60">
        <f ca="1">AVERAGE(OFFSET($AM$3,0,0,'Données projet'!$E$10+1,1))-AVERAGE(OFFSET($H$3,0,0,'Données projet'!$E$10+1,1))</f>
        <v>170.79567854714986</v>
      </c>
      <c r="AO113" s="60">
        <f t="shared" si="90"/>
        <v>155.92788004111191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-1.1368683772161603E-13</v>
      </c>
      <c r="BE113" s="14">
        <f>BD113*VLOOKUP('Données projet'!$B$11,Paramètres!$A$1:$I$89,3,0)*VLOOKUP('Données projet'!$B$11,Paramètres!$A$1:$I$89,5,0)</f>
        <v>-9.2222762759774927E-14</v>
      </c>
      <c r="BF113" s="14" t="e">
        <f t="shared" si="91"/>
        <v>#NUM!</v>
      </c>
      <c r="BG113" s="22" t="e">
        <f t="shared" si="61"/>
        <v>#NUM!</v>
      </c>
      <c r="BH113" s="60" t="e">
        <f t="shared" si="62"/>
        <v>#NUM!</v>
      </c>
      <c r="BI113" s="60">
        <f ca="1">AVERAGE(OFFSET($BH$3,0,0,'Données projet'!$E$11+1,1))-AVERAGE(OFFSET($H$3,0,0,'Données projet'!$E$11+1,1))</f>
        <v>256.19915261735281</v>
      </c>
      <c r="BJ113" s="60">
        <f t="shared" si="92"/>
        <v>297.47246687305056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2.8205128205128216</v>
      </c>
      <c r="BY113" s="13">
        <f>IF('Données projet'!$A$114&gt;35,BY112+BX113-CG112,IF(A113&lt;'Données projet'!$A$114,$BV$205^A113,IF(A113='Données projet'!$A$114,'Données projet'!$B$114,BY112+BX113-CG112)))</f>
        <v>233.97435897435895</v>
      </c>
      <c r="BZ113" s="14">
        <f>BY113*VLOOKUP('Données projet'!$B$12,Paramètres!$A$1:$I$89,3,0)*VLOOKUP('Données projet'!$B$12,Paramètres!$A$1:$I$89,5,0)</f>
        <v>222.64999999999998</v>
      </c>
      <c r="CA113" s="14">
        <f t="shared" si="93"/>
        <v>54.690448148719405</v>
      </c>
      <c r="CB113" s="22">
        <f t="shared" si="64"/>
        <v>483.03461385901954</v>
      </c>
      <c r="CC113" s="60">
        <f t="shared" si="65"/>
        <v>776.36794719235286</v>
      </c>
      <c r="CD113" s="60">
        <f ca="1">AVERAGE(OFFSET($CC$3,0,0,'Données projet'!$E$12+1,1))-AVERAGE(OFFSET($H$3,0,0,'Données projet'!$E$12+1,1))</f>
        <v>353.53401919391234</v>
      </c>
      <c r="CE113" s="60">
        <f t="shared" si="94"/>
        <v>244.7141066773861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4</v>
      </c>
      <c r="CT113" s="13">
        <f>IF('Données projet'!$A$140&gt;35,CT112+CS113-DB112,IF(A113&lt;'Données projet'!$A$140,$CQ$205^A113,IF(A113='Données projet'!$A$140,'Données projet'!$B$140,CT112+CS113-DB112)))</f>
        <v>283.99999999999972</v>
      </c>
      <c r="CU113" s="18">
        <f>CT113*VLOOKUP('Données projet'!$B$13,Paramètres!$A$1:$I$89,3,0)*VLOOKUP('Données projet'!$B$13,Paramètres!$A$1:$I$89,5,0)</f>
        <v>239.24159999999975</v>
      </c>
      <c r="CV113" s="14">
        <f t="shared" si="95"/>
        <v>58.276326982845781</v>
      </c>
      <c r="CW113" s="22">
        <f t="shared" si="67"/>
        <v>518.17705616178932</v>
      </c>
      <c r="CX113" s="60">
        <f t="shared" si="68"/>
        <v>811.51038949512258</v>
      </c>
      <c r="CY113" s="60">
        <f ca="1">AVERAGE(OFFSET($CX$3,0,0,'Données projet'!$E$13+1,1))-AVERAGE(OFFSET($H$3,0,0,'Données projet'!$E$13+1,1))</f>
        <v>403.33327536410098</v>
      </c>
      <c r="CZ113" s="60">
        <f t="shared" si="96"/>
        <v>218.26721063098552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3.4106051316484809E-13</v>
      </c>
      <c r="DP113" s="18">
        <f>DO113*VLOOKUP('Données projet'!$B$14,Paramètres!$A$1:$I$89,3,0)*VLOOKUP('Données projet'!$B$14,Paramètres!$A$1:$I$89,5,0)</f>
        <v>2.7134774427395314E-13</v>
      </c>
      <c r="DQ113" s="14">
        <f t="shared" si="97"/>
        <v>3.6292411711343559E-12</v>
      </c>
      <c r="DR113" s="22">
        <f t="shared" si="70"/>
        <v>6.7935256943361388E-12</v>
      </c>
      <c r="DS113" s="60">
        <f t="shared" si="71"/>
        <v>293.33333333334014</v>
      </c>
      <c r="DT113" s="60">
        <f ca="1">AVERAGE(OFFSET($DS$3,0,0,'Données projet'!$E$14+1,1))-AVERAGE(OFFSET($H$3,0,0,'Données projet'!$E$14+1,1))</f>
        <v>317.13087551964747</v>
      </c>
      <c r="DU113" s="60">
        <f t="shared" si="98"/>
        <v>293.43300041793185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1.7053025658242404E-13</v>
      </c>
      <c r="EK113" s="18">
        <f>EJ113*VLOOKUP('Données projet'!$B$15,Paramètres!$A$1:$I$89,3,0)*VLOOKUP('Données projet'!$B$15,Paramètres!$A$1:$I$89,5,0)</f>
        <v>1.3567387213697657E-13</v>
      </c>
      <c r="EL113" s="14">
        <f t="shared" si="99"/>
        <v>1.9670967679808581E-12</v>
      </c>
      <c r="EM113" s="22">
        <f t="shared" si="73"/>
        <v>3.6623255315385623E-12</v>
      </c>
      <c r="EN113" s="60">
        <f t="shared" si="74"/>
        <v>293.33333333333695</v>
      </c>
      <c r="EO113" s="60">
        <f ca="1">AVERAGE(OFFSET($EN$3,0,0,'Données projet'!$E$15+1,1))-AVERAGE(OFFSET($H$3,0,0,'Données projet'!$E$15+1,1))</f>
        <v>253.03289960511904</v>
      </c>
      <c r="EP113" s="60">
        <f t="shared" si="100"/>
        <v>236.85088713056018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1.7053025658242404E-13</v>
      </c>
      <c r="FF113" s="18">
        <f>FE113*VLOOKUP('Données projet'!$B$16,Paramètres!$A$1:$I$89,3,0)*VLOOKUP('Données projet'!$B$16,Paramètres!$A$1:$I$89,5,0)</f>
        <v>1.4897523215040567E-13</v>
      </c>
      <c r="FG113" s="14">
        <f t="shared" si="101"/>
        <v>2.136562777003313E-12</v>
      </c>
      <c r="FH113" s="22">
        <f t="shared" si="76"/>
        <v>3.9806453659427267E-12</v>
      </c>
      <c r="FI113" s="60">
        <f t="shared" si="77"/>
        <v>293.33333333333729</v>
      </c>
      <c r="FJ113" s="60">
        <f ca="1">AVERAGE(OFFSET($FI$3,0,0,'Données projet'!$E$16+1,1))-AVERAGE(OFFSET($H$3,0,0,'Données projet'!$E$16+1,1))</f>
        <v>274.38315511766132</v>
      </c>
      <c r="FK113" s="60">
        <f t="shared" si="102"/>
        <v>255.96663040027175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-1.1368683772161603E-13</v>
      </c>
      <c r="GA113" s="18">
        <f>FZ113*VLOOKUP('Données projet'!$B$17,Paramètres!$A$1:$I$89,3,0)*VLOOKUP('Données projet'!$B$17,Paramètres!$A$1:$I$89,5,0)</f>
        <v>-9.7543306765146564E-14</v>
      </c>
      <c r="GB113" s="14" t="e">
        <f t="shared" si="103"/>
        <v>#NUM!</v>
      </c>
      <c r="GC113" s="22" t="e">
        <f t="shared" si="79"/>
        <v>#NUM!</v>
      </c>
      <c r="GD113" s="60" t="e">
        <f t="shared" si="80"/>
        <v>#NUM!</v>
      </c>
      <c r="GE113" s="60">
        <f ca="1">AVERAGE(OFFSET($GD$3,0,0,'Données projet'!$E$17+1,1))-AVERAGE(OFFSET($H$3,0,0,'Données projet'!$E$17+1,1))</f>
        <v>445.81166342116865</v>
      </c>
      <c r="GF113" s="60">
        <f t="shared" si="104"/>
        <v>230.82970731138215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5.6843418860808015E-14</v>
      </c>
      <c r="GV113" s="18">
        <f>GU113*VLOOKUP('Données projet'!$B$18,Paramètres!$A$1:$I$89,3,0)*VLOOKUP('Données projet'!$B$18,Paramètres!$A$1:$I$89,5,0)</f>
        <v>4.4337866711430253E-14</v>
      </c>
      <c r="GW113" s="14">
        <f t="shared" si="105"/>
        <v>7.3222115536967035E-13</v>
      </c>
      <c r="GX113" s="22">
        <f t="shared" si="82"/>
        <v>1.3525069634579169E-12</v>
      </c>
      <c r="GY113" s="60">
        <f t="shared" si="83"/>
        <v>293.33333333333468</v>
      </c>
      <c r="GZ113" s="60">
        <f ca="1">AVERAGE(OFFSET($GY$3,0,0,'Données projet'!$E$18+1,1))-AVERAGE(OFFSET($H$3,0,0,'Données projet'!$E$18+1,1))</f>
        <v>289.19475369871481</v>
      </c>
      <c r="HA113" s="60">
        <f t="shared" si="106"/>
        <v>283.48738729114024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projet'!$B$18,Paramètres!$A$1:$I$89,3,0)*0.475*44/12</f>
        <v>0</v>
      </c>
      <c r="HH113" s="23">
        <f>EXP(-LN(2)/25)*HH112+(1-EXP(-LN(2)/25))/(LN(2)/25)*Calculateur!HC113*Calculateur!HE113*VLOOKUP('Données projet'!$B$18,Paramètres!$A$1:$I$89,3,0)*0.475*44/12</f>
        <v>0</v>
      </c>
      <c r="HI113" s="23">
        <f>EXP(-LN(2)/2)*HI112+(1-EXP(-LN(2)/2))/(LN(2)/2)*HC113*HF113*VLOOKUP('Données projet'!$B$18,Paramètres!$A$1:$I$89,3,0)*0.475*44/12</f>
        <v>0</v>
      </c>
      <c r="HJ113" s="24">
        <f t="shared" si="84"/>
        <v>0</v>
      </c>
    </row>
    <row r="114" spans="1:218" s="5" customFormat="1" x14ac:dyDescent="0.3">
      <c r="A114" s="11">
        <f t="shared" si="85"/>
        <v>111</v>
      </c>
      <c r="B114" s="75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8">
        <f t="shared" si="56"/>
        <v>256.66666666666669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</v>
      </c>
      <c r="N114" s="14">
        <f>IF('Données projet'!$A$36&gt;35,N113+M114-V113,IF(A114&lt;'Données projet'!$A$36,$K$205^A114,IF(A114='Données projet'!$A$36,'Données projet'!$B$36,N113+M114-V113)))</f>
        <v>287.99999999999972</v>
      </c>
      <c r="O114" s="14">
        <f>N114*VLOOKUP('Données projet'!$B$9,Paramètres!$A$1:$I$89,3,0)*VLOOKUP('Données projet'!$B$9,Paramètres!$A$1:$I$89,5,0)</f>
        <v>278.55359999999973</v>
      </c>
      <c r="P114" s="14">
        <f t="shared" si="87"/>
        <v>66.661250908095099</v>
      </c>
      <c r="Q114" s="22">
        <f t="shared" si="107"/>
        <v>601.24919866493178</v>
      </c>
      <c r="R114" s="60">
        <f t="shared" si="55"/>
        <v>894.58253199826504</v>
      </c>
      <c r="S114" s="60">
        <f ca="1">AVERAGE(OFFSET($R$3,0,0,'Données projet'!$E$9+1,1))-AVERAGE(OFFSET($H$3,0,0,'Données projet'!$E$9+1,1))</f>
        <v>456.86147223520601</v>
      </c>
      <c r="T114" s="60">
        <f t="shared" si="88"/>
        <v>244.45149244446094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2.5579538487363607E-13</v>
      </c>
      <c r="AJ114" s="14">
        <f>AI114*VLOOKUP('Données projet'!$B$10,Paramètres!$A$1:$I$89,3,0)*VLOOKUP('Données projet'!$B$10,Paramètres!$A$1:$I$89,5,0)</f>
        <v>1.6759713616920635E-13</v>
      </c>
      <c r="AK114" s="14">
        <f t="shared" si="89"/>
        <v>2.3709043131075133E-12</v>
      </c>
      <c r="AL114" s="22">
        <f t="shared" si="58"/>
        <v>4.4212233574902864E-12</v>
      </c>
      <c r="AM114" s="60">
        <f t="shared" si="59"/>
        <v>293.33333333333775</v>
      </c>
      <c r="AN114" s="60">
        <f ca="1">AVERAGE(OFFSET($AM$3,0,0,'Données projet'!$E$10+1,1))-AVERAGE(OFFSET($H$3,0,0,'Données projet'!$E$10+1,1))</f>
        <v>170.79567854714986</v>
      </c>
      <c r="AO114" s="60">
        <f t="shared" si="90"/>
        <v>155.92788004111191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-1.1368683772161603E-13</v>
      </c>
      <c r="BE114" s="14">
        <f>BD114*VLOOKUP('Données projet'!$B$11,Paramètres!$A$1:$I$89,3,0)*VLOOKUP('Données projet'!$B$11,Paramètres!$A$1:$I$89,5,0)</f>
        <v>-9.2222762759774927E-14</v>
      </c>
      <c r="BF114" s="14" t="e">
        <f t="shared" si="91"/>
        <v>#NUM!</v>
      </c>
      <c r="BG114" s="22" t="e">
        <f t="shared" si="61"/>
        <v>#NUM!</v>
      </c>
      <c r="BH114" s="60" t="e">
        <f t="shared" si="62"/>
        <v>#NUM!</v>
      </c>
      <c r="BI114" s="60">
        <f ca="1">AVERAGE(OFFSET($BH$3,0,0,'Données projet'!$E$11+1,1))-AVERAGE(OFFSET($H$3,0,0,'Données projet'!$E$11+1,1))</f>
        <v>256.19915261735281</v>
      </c>
      <c r="BJ114" s="60">
        <f t="shared" si="92"/>
        <v>297.47246687305056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2.8205128205128216</v>
      </c>
      <c r="BY114" s="13">
        <f>IF('Données projet'!$A$114&gt;35,BY113+BX114-CG113,IF(A114&lt;'Données projet'!$A$114,$BV$205^A114,IF(A114='Données projet'!$A$114,'Données projet'!$B$114,BY113+BX114-CG113)))</f>
        <v>236.79487179487177</v>
      </c>
      <c r="BZ114" s="14">
        <f>BY114*VLOOKUP('Données projet'!$B$12,Paramètres!$A$1:$I$89,3,0)*VLOOKUP('Données projet'!$B$12,Paramètres!$A$1:$I$89,5,0)</f>
        <v>225.33399999999997</v>
      </c>
      <c r="CA114" s="14">
        <f t="shared" si="93"/>
        <v>55.272582942224489</v>
      </c>
      <c r="CB114" s="22">
        <f t="shared" si="64"/>
        <v>488.72313195770761</v>
      </c>
      <c r="CC114" s="60">
        <f t="shared" si="65"/>
        <v>782.05646529104092</v>
      </c>
      <c r="CD114" s="60">
        <f ca="1">AVERAGE(OFFSET($CC$3,0,0,'Données projet'!$E$12+1,1))-AVERAGE(OFFSET($H$3,0,0,'Données projet'!$E$12+1,1))</f>
        <v>353.53401919391234</v>
      </c>
      <c r="CE114" s="60">
        <f t="shared" si="94"/>
        <v>244.7141066773861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4</v>
      </c>
      <c r="CT114" s="13">
        <f>IF('Données projet'!$A$140&gt;35,CT113+CS114-DB113,IF(A114&lt;'Données projet'!$A$140,$CQ$205^A114,IF(A114='Données projet'!$A$140,'Données projet'!$B$140,CT113+CS114-DB113)))</f>
        <v>287.99999999999972</v>
      </c>
      <c r="CU114" s="18">
        <f>CT114*VLOOKUP('Données projet'!$B$13,Paramètres!$A$1:$I$89,3,0)*VLOOKUP('Données projet'!$B$13,Paramètres!$A$1:$I$89,5,0)</f>
        <v>242.6111999999998</v>
      </c>
      <c r="CV114" s="14">
        <f t="shared" si="95"/>
        <v>59.000988565915527</v>
      </c>
      <c r="CW114" s="22">
        <f t="shared" si="67"/>
        <v>525.30789508563589</v>
      </c>
      <c r="CX114" s="60">
        <f t="shared" si="68"/>
        <v>818.64122841896915</v>
      </c>
      <c r="CY114" s="60">
        <f ca="1">AVERAGE(OFFSET($CX$3,0,0,'Données projet'!$E$13+1,1))-AVERAGE(OFFSET($H$3,0,0,'Données projet'!$E$13+1,1))</f>
        <v>403.33327536410098</v>
      </c>
      <c r="CZ114" s="60">
        <f t="shared" si="96"/>
        <v>218.26721063098552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3.4106051316484809E-13</v>
      </c>
      <c r="DP114" s="18">
        <f>DO114*VLOOKUP('Données projet'!$B$14,Paramètres!$A$1:$I$89,3,0)*VLOOKUP('Données projet'!$B$14,Paramètres!$A$1:$I$89,5,0)</f>
        <v>2.7134774427395314E-13</v>
      </c>
      <c r="DQ114" s="14">
        <f t="shared" si="97"/>
        <v>3.6292411711343559E-12</v>
      </c>
      <c r="DR114" s="22">
        <f t="shared" si="70"/>
        <v>6.7935256943361388E-12</v>
      </c>
      <c r="DS114" s="60">
        <f t="shared" si="71"/>
        <v>293.33333333334014</v>
      </c>
      <c r="DT114" s="60">
        <f ca="1">AVERAGE(OFFSET($DS$3,0,0,'Données projet'!$E$14+1,1))-AVERAGE(OFFSET($H$3,0,0,'Données projet'!$E$14+1,1))</f>
        <v>317.13087551964747</v>
      </c>
      <c r="DU114" s="60">
        <f t="shared" si="98"/>
        <v>293.43300041793185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1.7053025658242404E-13</v>
      </c>
      <c r="EK114" s="18">
        <f>EJ114*VLOOKUP('Données projet'!$B$15,Paramètres!$A$1:$I$89,3,0)*VLOOKUP('Données projet'!$B$15,Paramètres!$A$1:$I$89,5,0)</f>
        <v>1.3567387213697657E-13</v>
      </c>
      <c r="EL114" s="14">
        <f t="shared" si="99"/>
        <v>1.9670967679808581E-12</v>
      </c>
      <c r="EM114" s="22">
        <f t="shared" si="73"/>
        <v>3.6623255315385623E-12</v>
      </c>
      <c r="EN114" s="60">
        <f t="shared" si="74"/>
        <v>293.33333333333695</v>
      </c>
      <c r="EO114" s="60">
        <f ca="1">AVERAGE(OFFSET($EN$3,0,0,'Données projet'!$E$15+1,1))-AVERAGE(OFFSET($H$3,0,0,'Données projet'!$E$15+1,1))</f>
        <v>253.03289960511904</v>
      </c>
      <c r="EP114" s="60">
        <f t="shared" si="100"/>
        <v>236.85088713056018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1.7053025658242404E-13</v>
      </c>
      <c r="FF114" s="18">
        <f>FE114*VLOOKUP('Données projet'!$B$16,Paramètres!$A$1:$I$89,3,0)*VLOOKUP('Données projet'!$B$16,Paramètres!$A$1:$I$89,5,0)</f>
        <v>1.4897523215040567E-13</v>
      </c>
      <c r="FG114" s="14">
        <f t="shared" si="101"/>
        <v>2.136562777003313E-12</v>
      </c>
      <c r="FH114" s="22">
        <f t="shared" si="76"/>
        <v>3.9806453659427267E-12</v>
      </c>
      <c r="FI114" s="60">
        <f t="shared" si="77"/>
        <v>293.33333333333729</v>
      </c>
      <c r="FJ114" s="60">
        <f ca="1">AVERAGE(OFFSET($FI$3,0,0,'Données projet'!$E$16+1,1))-AVERAGE(OFFSET($H$3,0,0,'Données projet'!$E$16+1,1))</f>
        <v>274.38315511766132</v>
      </c>
      <c r="FK114" s="60">
        <f t="shared" si="102"/>
        <v>255.96663040027175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-1.1368683772161603E-13</v>
      </c>
      <c r="GA114" s="18">
        <f>FZ114*VLOOKUP('Données projet'!$B$17,Paramètres!$A$1:$I$89,3,0)*VLOOKUP('Données projet'!$B$17,Paramètres!$A$1:$I$89,5,0)</f>
        <v>-9.7543306765146564E-14</v>
      </c>
      <c r="GB114" s="14" t="e">
        <f t="shared" si="103"/>
        <v>#NUM!</v>
      </c>
      <c r="GC114" s="22" t="e">
        <f t="shared" si="79"/>
        <v>#NUM!</v>
      </c>
      <c r="GD114" s="60" t="e">
        <f t="shared" si="80"/>
        <v>#NUM!</v>
      </c>
      <c r="GE114" s="60">
        <f ca="1">AVERAGE(OFFSET($GD$3,0,0,'Données projet'!$E$17+1,1))-AVERAGE(OFFSET($H$3,0,0,'Données projet'!$E$17+1,1))</f>
        <v>445.81166342116865</v>
      </c>
      <c r="GF114" s="60">
        <f t="shared" si="104"/>
        <v>230.82970731138215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5.6843418860808015E-14</v>
      </c>
      <c r="GV114" s="18">
        <f>GU114*VLOOKUP('Données projet'!$B$18,Paramètres!$A$1:$I$89,3,0)*VLOOKUP('Données projet'!$B$18,Paramètres!$A$1:$I$89,5,0)</f>
        <v>4.4337866711430253E-14</v>
      </c>
      <c r="GW114" s="14">
        <f t="shared" si="105"/>
        <v>7.3222115536967035E-13</v>
      </c>
      <c r="GX114" s="22">
        <f t="shared" si="82"/>
        <v>1.3525069634579169E-12</v>
      </c>
      <c r="GY114" s="60">
        <f t="shared" si="83"/>
        <v>293.33333333333468</v>
      </c>
      <c r="GZ114" s="60">
        <f ca="1">AVERAGE(OFFSET($GY$3,0,0,'Données projet'!$E$18+1,1))-AVERAGE(OFFSET($H$3,0,0,'Données projet'!$E$18+1,1))</f>
        <v>289.19475369871481</v>
      </c>
      <c r="HA114" s="60">
        <f t="shared" si="106"/>
        <v>283.48738729114024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projet'!$B$18,Paramètres!$A$1:$I$89,3,0)*0.475*44/12</f>
        <v>0</v>
      </c>
      <c r="HH114" s="23">
        <f>EXP(-LN(2)/25)*HH113+(1-EXP(-LN(2)/25))/(LN(2)/25)*Calculateur!HC114*Calculateur!HE114*VLOOKUP('Données projet'!$B$18,Paramètres!$A$1:$I$89,3,0)*0.475*44/12</f>
        <v>0</v>
      </c>
      <c r="HI114" s="23">
        <f>EXP(-LN(2)/2)*HI113+(1-EXP(-LN(2)/2))/(LN(2)/2)*HC114*HF114*VLOOKUP('Données projet'!$B$18,Paramètres!$A$1:$I$89,3,0)*0.475*44/12</f>
        <v>0</v>
      </c>
      <c r="HJ114" s="24">
        <f t="shared" si="84"/>
        <v>0</v>
      </c>
    </row>
    <row r="115" spans="1:218" s="5" customFormat="1" x14ac:dyDescent="0.3">
      <c r="A115" s="11">
        <f t="shared" si="85"/>
        <v>112</v>
      </c>
      <c r="B115" s="75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8">
        <f t="shared" si="56"/>
        <v>256.66666666666669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</v>
      </c>
      <c r="N115" s="14">
        <f>IF('Données projet'!$A$36&gt;35,N114+M115-V114,IF(A115&lt;'Données projet'!$A$36,$K$205^A115,IF(A115='Données projet'!$A$36,'Données projet'!$B$36,N114+M115-V114)))</f>
        <v>291.99999999999972</v>
      </c>
      <c r="O115" s="14">
        <f>N115*VLOOKUP('Données projet'!$B$9,Paramètres!$A$1:$I$89,3,0)*VLOOKUP('Données projet'!$B$9,Paramètres!$A$1:$I$89,5,0)</f>
        <v>282.42239999999975</v>
      </c>
      <c r="P115" s="14">
        <f t="shared" si="87"/>
        <v>67.478674703106122</v>
      </c>
      <c r="Q115" s="22">
        <f t="shared" si="107"/>
        <v>609.41103844124279</v>
      </c>
      <c r="R115" s="60">
        <f t="shared" si="55"/>
        <v>902.74437177457617</v>
      </c>
      <c r="S115" s="60">
        <f ca="1">AVERAGE(OFFSET($R$3,0,0,'Données projet'!$E$9+1,1))-AVERAGE(OFFSET($H$3,0,0,'Données projet'!$E$9+1,1))</f>
        <v>456.86147223520601</v>
      </c>
      <c r="T115" s="60">
        <f t="shared" si="88"/>
        <v>244.45149244446094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2.5579538487363607E-13</v>
      </c>
      <c r="AJ115" s="14">
        <f>AI115*VLOOKUP('Données projet'!$B$10,Paramètres!$A$1:$I$89,3,0)*VLOOKUP('Données projet'!$B$10,Paramètres!$A$1:$I$89,5,0)</f>
        <v>1.6759713616920635E-13</v>
      </c>
      <c r="AK115" s="14">
        <f t="shared" si="89"/>
        <v>2.3709043131075133E-12</v>
      </c>
      <c r="AL115" s="22">
        <f t="shared" si="58"/>
        <v>4.4212233574902864E-12</v>
      </c>
      <c r="AM115" s="60">
        <f t="shared" si="59"/>
        <v>293.33333333333775</v>
      </c>
      <c r="AN115" s="60">
        <f ca="1">AVERAGE(OFFSET($AM$3,0,0,'Données projet'!$E$10+1,1))-AVERAGE(OFFSET($H$3,0,0,'Données projet'!$E$10+1,1))</f>
        <v>170.79567854714986</v>
      </c>
      <c r="AO115" s="60">
        <f t="shared" si="90"/>
        <v>155.92788004111191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-1.1368683772161603E-13</v>
      </c>
      <c r="BE115" s="14">
        <f>BD115*VLOOKUP('Données projet'!$B$11,Paramètres!$A$1:$I$89,3,0)*VLOOKUP('Données projet'!$B$11,Paramètres!$A$1:$I$89,5,0)</f>
        <v>-9.2222762759774927E-14</v>
      </c>
      <c r="BF115" s="14" t="e">
        <f t="shared" si="91"/>
        <v>#NUM!</v>
      </c>
      <c r="BG115" s="22" t="e">
        <f t="shared" si="61"/>
        <v>#NUM!</v>
      </c>
      <c r="BH115" s="60" t="e">
        <f t="shared" si="62"/>
        <v>#NUM!</v>
      </c>
      <c r="BI115" s="60">
        <f ca="1">AVERAGE(OFFSET($BH$3,0,0,'Données projet'!$E$11+1,1))-AVERAGE(OFFSET($H$3,0,0,'Données projet'!$E$11+1,1))</f>
        <v>256.19915261735281</v>
      </c>
      <c r="BJ115" s="60">
        <f t="shared" si="92"/>
        <v>297.47246687305056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2.8205128205128216</v>
      </c>
      <c r="BY115" s="13">
        <f>IF('Données projet'!$A$114&gt;35,BY114+BX115-CG114,IF(A115&lt;'Données projet'!$A$114,$BV$205^A115,IF(A115='Données projet'!$A$114,'Données projet'!$B$114,BY114+BX115-CG114)))</f>
        <v>239.61538461538458</v>
      </c>
      <c r="BZ115" s="14">
        <f>BY115*VLOOKUP('Données projet'!$B$12,Paramètres!$A$1:$I$89,3,0)*VLOOKUP('Données projet'!$B$12,Paramètres!$A$1:$I$89,5,0)</f>
        <v>228.01799999999997</v>
      </c>
      <c r="CA115" s="14">
        <f t="shared" si="93"/>
        <v>55.853911165569201</v>
      </c>
      <c r="CB115" s="22">
        <f t="shared" si="64"/>
        <v>494.41024528003294</v>
      </c>
      <c r="CC115" s="60">
        <f t="shared" si="65"/>
        <v>787.74357861336625</v>
      </c>
      <c r="CD115" s="60">
        <f ca="1">AVERAGE(OFFSET($CC$3,0,0,'Données projet'!$E$12+1,1))-AVERAGE(OFFSET($H$3,0,0,'Données projet'!$E$12+1,1))</f>
        <v>353.53401919391234</v>
      </c>
      <c r="CE115" s="60">
        <f t="shared" si="94"/>
        <v>244.7141066773861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4</v>
      </c>
      <c r="CT115" s="13">
        <f>IF('Données projet'!$A$140&gt;35,CT114+CS115-DB114,IF(A115&lt;'Données projet'!$A$140,$CQ$205^A115,IF(A115='Données projet'!$A$140,'Données projet'!$B$140,CT114+CS115-DB114)))</f>
        <v>291.99999999999972</v>
      </c>
      <c r="CU115" s="18">
        <f>CT115*VLOOKUP('Données projet'!$B$13,Paramètres!$A$1:$I$89,3,0)*VLOOKUP('Données projet'!$B$13,Paramètres!$A$1:$I$89,5,0)</f>
        <v>245.98079999999979</v>
      </c>
      <c r="CV115" s="14">
        <f t="shared" si="95"/>
        <v>59.724479519444813</v>
      </c>
      <c r="CW115" s="22">
        <f t="shared" si="67"/>
        <v>532.4366951630326</v>
      </c>
      <c r="CX115" s="60">
        <f t="shared" si="68"/>
        <v>825.77002849636597</v>
      </c>
      <c r="CY115" s="60">
        <f ca="1">AVERAGE(OFFSET($CX$3,0,0,'Données projet'!$E$13+1,1))-AVERAGE(OFFSET($H$3,0,0,'Données projet'!$E$13+1,1))</f>
        <v>403.33327536410098</v>
      </c>
      <c r="CZ115" s="60">
        <f t="shared" si="96"/>
        <v>218.26721063098552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3.4106051316484809E-13</v>
      </c>
      <c r="DP115" s="18">
        <f>DO115*VLOOKUP('Données projet'!$B$14,Paramètres!$A$1:$I$89,3,0)*VLOOKUP('Données projet'!$B$14,Paramètres!$A$1:$I$89,5,0)</f>
        <v>2.7134774427395314E-13</v>
      </c>
      <c r="DQ115" s="14">
        <f t="shared" si="97"/>
        <v>3.6292411711343559E-12</v>
      </c>
      <c r="DR115" s="22">
        <f t="shared" si="70"/>
        <v>6.7935256943361388E-12</v>
      </c>
      <c r="DS115" s="60">
        <f t="shared" si="71"/>
        <v>293.33333333334014</v>
      </c>
      <c r="DT115" s="60">
        <f ca="1">AVERAGE(OFFSET($DS$3,0,0,'Données projet'!$E$14+1,1))-AVERAGE(OFFSET($H$3,0,0,'Données projet'!$E$14+1,1))</f>
        <v>317.13087551964747</v>
      </c>
      <c r="DU115" s="60">
        <f t="shared" si="98"/>
        <v>293.43300041793185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1.7053025658242404E-13</v>
      </c>
      <c r="EK115" s="18">
        <f>EJ115*VLOOKUP('Données projet'!$B$15,Paramètres!$A$1:$I$89,3,0)*VLOOKUP('Données projet'!$B$15,Paramètres!$A$1:$I$89,5,0)</f>
        <v>1.3567387213697657E-13</v>
      </c>
      <c r="EL115" s="14">
        <f t="shared" si="99"/>
        <v>1.9670967679808581E-12</v>
      </c>
      <c r="EM115" s="22">
        <f t="shared" si="73"/>
        <v>3.6623255315385623E-12</v>
      </c>
      <c r="EN115" s="60">
        <f t="shared" si="74"/>
        <v>293.33333333333695</v>
      </c>
      <c r="EO115" s="60">
        <f ca="1">AVERAGE(OFFSET($EN$3,0,0,'Données projet'!$E$15+1,1))-AVERAGE(OFFSET($H$3,0,0,'Données projet'!$E$15+1,1))</f>
        <v>253.03289960511904</v>
      </c>
      <c r="EP115" s="60">
        <f t="shared" si="100"/>
        <v>236.85088713056018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1.7053025658242404E-13</v>
      </c>
      <c r="FF115" s="18">
        <f>FE115*VLOOKUP('Données projet'!$B$16,Paramètres!$A$1:$I$89,3,0)*VLOOKUP('Données projet'!$B$16,Paramètres!$A$1:$I$89,5,0)</f>
        <v>1.4897523215040567E-13</v>
      </c>
      <c r="FG115" s="14">
        <f t="shared" si="101"/>
        <v>2.136562777003313E-12</v>
      </c>
      <c r="FH115" s="22">
        <f t="shared" si="76"/>
        <v>3.9806453659427267E-12</v>
      </c>
      <c r="FI115" s="60">
        <f t="shared" si="77"/>
        <v>293.33333333333729</v>
      </c>
      <c r="FJ115" s="60">
        <f ca="1">AVERAGE(OFFSET($FI$3,0,0,'Données projet'!$E$16+1,1))-AVERAGE(OFFSET($H$3,0,0,'Données projet'!$E$16+1,1))</f>
        <v>274.38315511766132</v>
      </c>
      <c r="FK115" s="60">
        <f t="shared" si="102"/>
        <v>255.96663040027175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-1.1368683772161603E-13</v>
      </c>
      <c r="GA115" s="18">
        <f>FZ115*VLOOKUP('Données projet'!$B$17,Paramètres!$A$1:$I$89,3,0)*VLOOKUP('Données projet'!$B$17,Paramètres!$A$1:$I$89,5,0)</f>
        <v>-9.7543306765146564E-14</v>
      </c>
      <c r="GB115" s="14" t="e">
        <f t="shared" si="103"/>
        <v>#NUM!</v>
      </c>
      <c r="GC115" s="22" t="e">
        <f t="shared" si="79"/>
        <v>#NUM!</v>
      </c>
      <c r="GD115" s="60" t="e">
        <f t="shared" si="80"/>
        <v>#NUM!</v>
      </c>
      <c r="GE115" s="60">
        <f ca="1">AVERAGE(OFFSET($GD$3,0,0,'Données projet'!$E$17+1,1))-AVERAGE(OFFSET($H$3,0,0,'Données projet'!$E$17+1,1))</f>
        <v>445.81166342116865</v>
      </c>
      <c r="GF115" s="60">
        <f t="shared" si="104"/>
        <v>230.82970731138215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5.6843418860808015E-14</v>
      </c>
      <c r="GV115" s="18">
        <f>GU115*VLOOKUP('Données projet'!$B$18,Paramètres!$A$1:$I$89,3,0)*VLOOKUP('Données projet'!$B$18,Paramètres!$A$1:$I$89,5,0)</f>
        <v>4.4337866711430253E-14</v>
      </c>
      <c r="GW115" s="14">
        <f t="shared" si="105"/>
        <v>7.3222115536967035E-13</v>
      </c>
      <c r="GX115" s="22">
        <f t="shared" si="82"/>
        <v>1.3525069634579169E-12</v>
      </c>
      <c r="GY115" s="60">
        <f t="shared" si="83"/>
        <v>293.33333333333468</v>
      </c>
      <c r="GZ115" s="60">
        <f ca="1">AVERAGE(OFFSET($GY$3,0,0,'Données projet'!$E$18+1,1))-AVERAGE(OFFSET($H$3,0,0,'Données projet'!$E$18+1,1))</f>
        <v>289.19475369871481</v>
      </c>
      <c r="HA115" s="60">
        <f t="shared" si="106"/>
        <v>283.48738729114024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projet'!$B$18,Paramètres!$A$1:$I$89,3,0)*0.475*44/12</f>
        <v>0</v>
      </c>
      <c r="HH115" s="23">
        <f>EXP(-LN(2)/25)*HH114+(1-EXP(-LN(2)/25))/(LN(2)/25)*Calculateur!HC115*Calculateur!HE115*VLOOKUP('Données projet'!$B$18,Paramètres!$A$1:$I$89,3,0)*0.475*44/12</f>
        <v>0</v>
      </c>
      <c r="HI115" s="23">
        <f>EXP(-LN(2)/2)*HI114+(1-EXP(-LN(2)/2))/(LN(2)/2)*HC115*HF115*VLOOKUP('Données projet'!$B$18,Paramètres!$A$1:$I$89,3,0)*0.475*44/12</f>
        <v>0</v>
      </c>
      <c r="HJ115" s="24">
        <f t="shared" si="84"/>
        <v>0</v>
      </c>
    </row>
    <row r="116" spans="1:218" s="5" customFormat="1" x14ac:dyDescent="0.3">
      <c r="A116" s="11">
        <f t="shared" si="85"/>
        <v>113</v>
      </c>
      <c r="B116" s="75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8">
        <f t="shared" si="56"/>
        <v>256.66666666666669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</v>
      </c>
      <c r="N116" s="14">
        <f>IF('Données projet'!$A$36&gt;35,N115+M116-V115,IF(A116&lt;'Données projet'!$A$36,$K$205^A116,IF(A116='Données projet'!$A$36,'Données projet'!$B$36,N115+M116-V115)))</f>
        <v>295.99999999999972</v>
      </c>
      <c r="O116" s="14">
        <f>N116*VLOOKUP('Données projet'!$B$9,Paramètres!$A$1:$I$89,3,0)*VLOOKUP('Données projet'!$B$9,Paramètres!$A$1:$I$89,5,0)</f>
        <v>286.29119999999972</v>
      </c>
      <c r="P116" s="14">
        <f t="shared" si="87"/>
        <v>68.294796094604337</v>
      </c>
      <c r="Q116" s="22">
        <f t="shared" si="107"/>
        <v>617.5706098647687</v>
      </c>
      <c r="R116" s="60">
        <f t="shared" si="55"/>
        <v>910.90394319810207</v>
      </c>
      <c r="S116" s="60">
        <f ca="1">AVERAGE(OFFSET($R$3,0,0,'Données projet'!$E$9+1,1))-AVERAGE(OFFSET($H$3,0,0,'Données projet'!$E$9+1,1))</f>
        <v>456.86147223520601</v>
      </c>
      <c r="T116" s="60">
        <f t="shared" si="88"/>
        <v>244.45149244446094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2.5579538487363607E-13</v>
      </c>
      <c r="AJ116" s="14">
        <f>AI116*VLOOKUP('Données projet'!$B$10,Paramètres!$A$1:$I$89,3,0)*VLOOKUP('Données projet'!$B$10,Paramètres!$A$1:$I$89,5,0)</f>
        <v>1.6759713616920635E-13</v>
      </c>
      <c r="AK116" s="14">
        <f t="shared" si="89"/>
        <v>2.3709043131075133E-12</v>
      </c>
      <c r="AL116" s="22">
        <f t="shared" si="58"/>
        <v>4.4212233574902864E-12</v>
      </c>
      <c r="AM116" s="60">
        <f t="shared" si="59"/>
        <v>293.33333333333775</v>
      </c>
      <c r="AN116" s="60">
        <f ca="1">AVERAGE(OFFSET($AM$3,0,0,'Données projet'!$E$10+1,1))-AVERAGE(OFFSET($H$3,0,0,'Données projet'!$E$10+1,1))</f>
        <v>170.79567854714986</v>
      </c>
      <c r="AO116" s="60">
        <f t="shared" si="90"/>
        <v>155.92788004111191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-1.1368683772161603E-13</v>
      </c>
      <c r="BE116" s="14">
        <f>BD116*VLOOKUP('Données projet'!$B$11,Paramètres!$A$1:$I$89,3,0)*VLOOKUP('Données projet'!$B$11,Paramètres!$A$1:$I$89,5,0)</f>
        <v>-9.2222762759774927E-14</v>
      </c>
      <c r="BF116" s="14" t="e">
        <f t="shared" si="91"/>
        <v>#NUM!</v>
      </c>
      <c r="BG116" s="22" t="e">
        <f t="shared" si="61"/>
        <v>#NUM!</v>
      </c>
      <c r="BH116" s="60" t="e">
        <f t="shared" si="62"/>
        <v>#NUM!</v>
      </c>
      <c r="BI116" s="60">
        <f ca="1">AVERAGE(OFFSET($BH$3,0,0,'Données projet'!$E$11+1,1))-AVERAGE(OFFSET($H$3,0,0,'Données projet'!$E$11+1,1))</f>
        <v>256.19915261735281</v>
      </c>
      <c r="BJ116" s="60">
        <f t="shared" si="92"/>
        <v>297.47246687305056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2.8205128205128216</v>
      </c>
      <c r="BY116" s="13">
        <f>IF('Données projet'!$A$114&gt;35,BY115+BX116-CG115,IF(A116&lt;'Données projet'!$A$114,$BV$205^A116,IF(A116='Données projet'!$A$114,'Données projet'!$B$114,BY115+BX116-CG115)))</f>
        <v>242.4358974358974</v>
      </c>
      <c r="BZ116" s="14">
        <f>BY116*VLOOKUP('Données projet'!$B$12,Paramètres!$A$1:$I$89,3,0)*VLOOKUP('Données projet'!$B$12,Paramètres!$A$1:$I$89,5,0)</f>
        <v>230.70199999999997</v>
      </c>
      <c r="CA116" s="14">
        <f t="shared" si="93"/>
        <v>56.434443411242938</v>
      </c>
      <c r="CB116" s="22">
        <f t="shared" si="64"/>
        <v>500.09597227458136</v>
      </c>
      <c r="CC116" s="60">
        <f t="shared" si="65"/>
        <v>793.42930560791467</v>
      </c>
      <c r="CD116" s="60">
        <f ca="1">AVERAGE(OFFSET($CC$3,0,0,'Données projet'!$E$12+1,1))-AVERAGE(OFFSET($H$3,0,0,'Données projet'!$E$12+1,1))</f>
        <v>353.53401919391234</v>
      </c>
      <c r="CE116" s="60">
        <f t="shared" si="94"/>
        <v>244.7141066773861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4</v>
      </c>
      <c r="CT116" s="13">
        <f>IF('Données projet'!$A$140&gt;35,CT115+CS116-DB115,IF(A116&lt;'Données projet'!$A$140,$CQ$205^A116,IF(A116='Données projet'!$A$140,'Données projet'!$B$140,CT115+CS116-DB115)))</f>
        <v>295.99999999999972</v>
      </c>
      <c r="CU116" s="18">
        <f>CT116*VLOOKUP('Données projet'!$B$13,Paramètres!$A$1:$I$89,3,0)*VLOOKUP('Données projet'!$B$13,Paramètres!$A$1:$I$89,5,0)</f>
        <v>249.35039999999978</v>
      </c>
      <c r="CV116" s="14">
        <f t="shared" si="95"/>
        <v>60.446817732908109</v>
      </c>
      <c r="CW116" s="22">
        <f t="shared" si="67"/>
        <v>539.56348755148122</v>
      </c>
      <c r="CX116" s="60">
        <f t="shared" si="68"/>
        <v>832.89682088481459</v>
      </c>
      <c r="CY116" s="60">
        <f ca="1">AVERAGE(OFFSET($CX$3,0,0,'Données projet'!$E$13+1,1))-AVERAGE(OFFSET($H$3,0,0,'Données projet'!$E$13+1,1))</f>
        <v>403.33327536410098</v>
      </c>
      <c r="CZ116" s="60">
        <f t="shared" si="96"/>
        <v>218.26721063098552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3.4106051316484809E-13</v>
      </c>
      <c r="DP116" s="18">
        <f>DO116*VLOOKUP('Données projet'!$B$14,Paramètres!$A$1:$I$89,3,0)*VLOOKUP('Données projet'!$B$14,Paramètres!$A$1:$I$89,5,0)</f>
        <v>2.7134774427395314E-13</v>
      </c>
      <c r="DQ116" s="14">
        <f t="shared" si="97"/>
        <v>3.6292411711343559E-12</v>
      </c>
      <c r="DR116" s="22">
        <f t="shared" si="70"/>
        <v>6.7935256943361388E-12</v>
      </c>
      <c r="DS116" s="60">
        <f t="shared" si="71"/>
        <v>293.33333333334014</v>
      </c>
      <c r="DT116" s="60">
        <f ca="1">AVERAGE(OFFSET($DS$3,0,0,'Données projet'!$E$14+1,1))-AVERAGE(OFFSET($H$3,0,0,'Données projet'!$E$14+1,1))</f>
        <v>317.13087551964747</v>
      </c>
      <c r="DU116" s="60">
        <f t="shared" si="98"/>
        <v>293.43300041793185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1.7053025658242404E-13</v>
      </c>
      <c r="EK116" s="18">
        <f>EJ116*VLOOKUP('Données projet'!$B$15,Paramètres!$A$1:$I$89,3,0)*VLOOKUP('Données projet'!$B$15,Paramètres!$A$1:$I$89,5,0)</f>
        <v>1.3567387213697657E-13</v>
      </c>
      <c r="EL116" s="14">
        <f t="shared" si="99"/>
        <v>1.9670967679808581E-12</v>
      </c>
      <c r="EM116" s="22">
        <f t="shared" si="73"/>
        <v>3.6623255315385623E-12</v>
      </c>
      <c r="EN116" s="60">
        <f t="shared" si="74"/>
        <v>293.33333333333695</v>
      </c>
      <c r="EO116" s="60">
        <f ca="1">AVERAGE(OFFSET($EN$3,0,0,'Données projet'!$E$15+1,1))-AVERAGE(OFFSET($H$3,0,0,'Données projet'!$E$15+1,1))</f>
        <v>253.03289960511904</v>
      </c>
      <c r="EP116" s="60">
        <f t="shared" si="100"/>
        <v>236.85088713056018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1.7053025658242404E-13</v>
      </c>
      <c r="FF116" s="18">
        <f>FE116*VLOOKUP('Données projet'!$B$16,Paramètres!$A$1:$I$89,3,0)*VLOOKUP('Données projet'!$B$16,Paramètres!$A$1:$I$89,5,0)</f>
        <v>1.4897523215040567E-13</v>
      </c>
      <c r="FG116" s="14">
        <f t="shared" si="101"/>
        <v>2.136562777003313E-12</v>
      </c>
      <c r="FH116" s="22">
        <f t="shared" si="76"/>
        <v>3.9806453659427267E-12</v>
      </c>
      <c r="FI116" s="60">
        <f t="shared" si="77"/>
        <v>293.33333333333729</v>
      </c>
      <c r="FJ116" s="60">
        <f ca="1">AVERAGE(OFFSET($FI$3,0,0,'Données projet'!$E$16+1,1))-AVERAGE(OFFSET($H$3,0,0,'Données projet'!$E$16+1,1))</f>
        <v>274.38315511766132</v>
      </c>
      <c r="FK116" s="60">
        <f t="shared" si="102"/>
        <v>255.96663040027175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-1.1368683772161603E-13</v>
      </c>
      <c r="GA116" s="18">
        <f>FZ116*VLOOKUP('Données projet'!$B$17,Paramètres!$A$1:$I$89,3,0)*VLOOKUP('Données projet'!$B$17,Paramètres!$A$1:$I$89,5,0)</f>
        <v>-9.7543306765146564E-14</v>
      </c>
      <c r="GB116" s="14" t="e">
        <f t="shared" si="103"/>
        <v>#NUM!</v>
      </c>
      <c r="GC116" s="22" t="e">
        <f t="shared" si="79"/>
        <v>#NUM!</v>
      </c>
      <c r="GD116" s="60" t="e">
        <f t="shared" si="80"/>
        <v>#NUM!</v>
      </c>
      <c r="GE116" s="60">
        <f ca="1">AVERAGE(OFFSET($GD$3,0,0,'Données projet'!$E$17+1,1))-AVERAGE(OFFSET($H$3,0,0,'Données projet'!$E$17+1,1))</f>
        <v>445.81166342116865</v>
      </c>
      <c r="GF116" s="60">
        <f t="shared" si="104"/>
        <v>230.82970731138215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5.6843418860808015E-14</v>
      </c>
      <c r="GV116" s="18">
        <f>GU116*VLOOKUP('Données projet'!$B$18,Paramètres!$A$1:$I$89,3,0)*VLOOKUP('Données projet'!$B$18,Paramètres!$A$1:$I$89,5,0)</f>
        <v>4.4337866711430253E-14</v>
      </c>
      <c r="GW116" s="14">
        <f t="shared" si="105"/>
        <v>7.3222115536967035E-13</v>
      </c>
      <c r="GX116" s="22">
        <f t="shared" si="82"/>
        <v>1.3525069634579169E-12</v>
      </c>
      <c r="GY116" s="60">
        <f t="shared" si="83"/>
        <v>293.33333333333468</v>
      </c>
      <c r="GZ116" s="60">
        <f ca="1">AVERAGE(OFFSET($GY$3,0,0,'Données projet'!$E$18+1,1))-AVERAGE(OFFSET($H$3,0,0,'Données projet'!$E$18+1,1))</f>
        <v>289.19475369871481</v>
      </c>
      <c r="HA116" s="60">
        <f t="shared" si="106"/>
        <v>283.48738729114024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projet'!$B$18,Paramètres!$A$1:$I$89,3,0)*0.475*44/12</f>
        <v>0</v>
      </c>
      <c r="HH116" s="23">
        <f>EXP(-LN(2)/25)*HH115+(1-EXP(-LN(2)/25))/(LN(2)/25)*Calculateur!HC116*Calculateur!HE116*VLOOKUP('Données projet'!$B$18,Paramètres!$A$1:$I$89,3,0)*0.475*44/12</f>
        <v>0</v>
      </c>
      <c r="HI116" s="23">
        <f>EXP(-LN(2)/2)*HI115+(1-EXP(-LN(2)/2))/(LN(2)/2)*HC116*HF116*VLOOKUP('Données projet'!$B$18,Paramètres!$A$1:$I$89,3,0)*0.475*44/12</f>
        <v>0</v>
      </c>
      <c r="HJ116" s="24">
        <f t="shared" si="84"/>
        <v>0</v>
      </c>
    </row>
    <row r="117" spans="1:218" s="5" customFormat="1" x14ac:dyDescent="0.3">
      <c r="A117" s="11">
        <f t="shared" si="85"/>
        <v>114</v>
      </c>
      <c r="B117" s="75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8">
        <f t="shared" si="56"/>
        <v>256.66666666666669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</v>
      </c>
      <c r="N117" s="14">
        <f>IF('Données projet'!$A$36&gt;35,N116+M117-V116,IF(A117&lt;'Données projet'!$A$36,$K$205^A117,IF(A117='Données projet'!$A$36,'Données projet'!$B$36,N116+M117-V116)))</f>
        <v>299.99999999999972</v>
      </c>
      <c r="O117" s="14">
        <f>N117*VLOOKUP('Données projet'!$B$9,Paramètres!$A$1:$I$89,3,0)*VLOOKUP('Données projet'!$B$9,Paramètres!$A$1:$I$89,5,0)</f>
        <v>290.15999999999974</v>
      </c>
      <c r="P117" s="14">
        <f t="shared" si="87"/>
        <v>69.109634717039867</v>
      </c>
      <c r="Q117" s="22">
        <f t="shared" si="107"/>
        <v>625.72794713217729</v>
      </c>
      <c r="R117" s="60">
        <f t="shared" si="55"/>
        <v>919.06128046551066</v>
      </c>
      <c r="S117" s="60">
        <f ca="1">AVERAGE(OFFSET($R$3,0,0,'Données projet'!$E$9+1,1))-AVERAGE(OFFSET($H$3,0,0,'Données projet'!$E$9+1,1))</f>
        <v>456.86147223520601</v>
      </c>
      <c r="T117" s="60">
        <f t="shared" si="88"/>
        <v>244.45149244446094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2.5579538487363607E-13</v>
      </c>
      <c r="AJ117" s="14">
        <f>AI117*VLOOKUP('Données projet'!$B$10,Paramètres!$A$1:$I$89,3,0)*VLOOKUP('Données projet'!$B$10,Paramètres!$A$1:$I$89,5,0)</f>
        <v>1.6759713616920635E-13</v>
      </c>
      <c r="AK117" s="14">
        <f t="shared" si="89"/>
        <v>2.3709043131075133E-12</v>
      </c>
      <c r="AL117" s="22">
        <f t="shared" si="58"/>
        <v>4.4212233574902864E-12</v>
      </c>
      <c r="AM117" s="60">
        <f t="shared" si="59"/>
        <v>293.33333333333775</v>
      </c>
      <c r="AN117" s="60">
        <f ca="1">AVERAGE(OFFSET($AM$3,0,0,'Données projet'!$E$10+1,1))-AVERAGE(OFFSET($H$3,0,0,'Données projet'!$E$10+1,1))</f>
        <v>170.79567854714986</v>
      </c>
      <c r="AO117" s="60">
        <f t="shared" si="90"/>
        <v>155.92788004111191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-1.1368683772161603E-13</v>
      </c>
      <c r="BE117" s="14">
        <f>BD117*VLOOKUP('Données projet'!$B$11,Paramètres!$A$1:$I$89,3,0)*VLOOKUP('Données projet'!$B$11,Paramètres!$A$1:$I$89,5,0)</f>
        <v>-9.2222762759774927E-14</v>
      </c>
      <c r="BF117" s="14" t="e">
        <f t="shared" si="91"/>
        <v>#NUM!</v>
      </c>
      <c r="BG117" s="22" t="e">
        <f t="shared" si="61"/>
        <v>#NUM!</v>
      </c>
      <c r="BH117" s="60" t="e">
        <f t="shared" si="62"/>
        <v>#NUM!</v>
      </c>
      <c r="BI117" s="60">
        <f ca="1">AVERAGE(OFFSET($BH$3,0,0,'Données projet'!$E$11+1,1))-AVERAGE(OFFSET($H$3,0,0,'Données projet'!$E$11+1,1))</f>
        <v>256.19915261735281</v>
      </c>
      <c r="BJ117" s="60">
        <f t="shared" si="92"/>
        <v>297.47246687305056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2.8205128205128216</v>
      </c>
      <c r="BY117" s="13">
        <f>IF('Données projet'!$A$114&gt;35,BY116+BX117-CG116,IF(A117&lt;'Données projet'!$A$114,$BV$205^A117,IF(A117='Données projet'!$A$114,'Données projet'!$B$114,BY116+BX117-CG116)))</f>
        <v>245.25641025641022</v>
      </c>
      <c r="BZ117" s="14">
        <f>BY117*VLOOKUP('Données projet'!$B$12,Paramètres!$A$1:$I$89,3,0)*VLOOKUP('Données projet'!$B$12,Paramètres!$A$1:$I$89,5,0)</f>
        <v>233.386</v>
      </c>
      <c r="CA117" s="14">
        <f t="shared" si="93"/>
        <v>57.014190011082412</v>
      </c>
      <c r="CB117" s="22">
        <f t="shared" si="64"/>
        <v>505.78033093596855</v>
      </c>
      <c r="CC117" s="60">
        <f t="shared" si="65"/>
        <v>799.11366426930181</v>
      </c>
      <c r="CD117" s="60">
        <f ca="1">AVERAGE(OFFSET($CC$3,0,0,'Données projet'!$E$12+1,1))-AVERAGE(OFFSET($H$3,0,0,'Données projet'!$E$12+1,1))</f>
        <v>353.53401919391234</v>
      </c>
      <c r="CE117" s="60">
        <f t="shared" si="94"/>
        <v>244.7141066773861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4</v>
      </c>
      <c r="CT117" s="13">
        <f>IF('Données projet'!$A$140&gt;35,CT116+CS117-DB116,IF(A117&lt;'Données projet'!$A$140,$CQ$205^A117,IF(A117='Données projet'!$A$140,'Données projet'!$B$140,CT116+CS117-DB116)))</f>
        <v>299.99999999999972</v>
      </c>
      <c r="CU117" s="18">
        <f>CT117*VLOOKUP('Données projet'!$B$13,Paramètres!$A$1:$I$89,3,0)*VLOOKUP('Données projet'!$B$13,Paramètres!$A$1:$I$89,5,0)</f>
        <v>252.7199999999998</v>
      </c>
      <c r="CV117" s="14">
        <f t="shared" si="95"/>
        <v>61.168020584496766</v>
      </c>
      <c r="CW117" s="22">
        <f t="shared" si="67"/>
        <v>546.6883025179983</v>
      </c>
      <c r="CX117" s="60">
        <f t="shared" si="68"/>
        <v>840.02163585133167</v>
      </c>
      <c r="CY117" s="60">
        <f ca="1">AVERAGE(OFFSET($CX$3,0,0,'Données projet'!$E$13+1,1))-AVERAGE(OFFSET($H$3,0,0,'Données projet'!$E$13+1,1))</f>
        <v>403.33327536410098</v>
      </c>
      <c r="CZ117" s="60">
        <f t="shared" si="96"/>
        <v>218.26721063098552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3.4106051316484809E-13</v>
      </c>
      <c r="DP117" s="18">
        <f>DO117*VLOOKUP('Données projet'!$B$14,Paramètres!$A$1:$I$89,3,0)*VLOOKUP('Données projet'!$B$14,Paramètres!$A$1:$I$89,5,0)</f>
        <v>2.7134774427395314E-13</v>
      </c>
      <c r="DQ117" s="14">
        <f t="shared" si="97"/>
        <v>3.6292411711343559E-12</v>
      </c>
      <c r="DR117" s="22">
        <f t="shared" si="70"/>
        <v>6.7935256943361388E-12</v>
      </c>
      <c r="DS117" s="60">
        <f t="shared" si="71"/>
        <v>293.33333333334014</v>
      </c>
      <c r="DT117" s="60">
        <f ca="1">AVERAGE(OFFSET($DS$3,0,0,'Données projet'!$E$14+1,1))-AVERAGE(OFFSET($H$3,0,0,'Données projet'!$E$14+1,1))</f>
        <v>317.13087551964747</v>
      </c>
      <c r="DU117" s="60">
        <f t="shared" si="98"/>
        <v>293.43300041793185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1.7053025658242404E-13</v>
      </c>
      <c r="EK117" s="18">
        <f>EJ117*VLOOKUP('Données projet'!$B$15,Paramètres!$A$1:$I$89,3,0)*VLOOKUP('Données projet'!$B$15,Paramètres!$A$1:$I$89,5,0)</f>
        <v>1.3567387213697657E-13</v>
      </c>
      <c r="EL117" s="14">
        <f t="shared" si="99"/>
        <v>1.9670967679808581E-12</v>
      </c>
      <c r="EM117" s="22">
        <f t="shared" si="73"/>
        <v>3.6623255315385623E-12</v>
      </c>
      <c r="EN117" s="60">
        <f t="shared" si="74"/>
        <v>293.33333333333695</v>
      </c>
      <c r="EO117" s="60">
        <f ca="1">AVERAGE(OFFSET($EN$3,0,0,'Données projet'!$E$15+1,1))-AVERAGE(OFFSET($H$3,0,0,'Données projet'!$E$15+1,1))</f>
        <v>253.03289960511904</v>
      </c>
      <c r="EP117" s="60">
        <f t="shared" si="100"/>
        <v>236.85088713056018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1.7053025658242404E-13</v>
      </c>
      <c r="FF117" s="18">
        <f>FE117*VLOOKUP('Données projet'!$B$16,Paramètres!$A$1:$I$89,3,0)*VLOOKUP('Données projet'!$B$16,Paramètres!$A$1:$I$89,5,0)</f>
        <v>1.4897523215040567E-13</v>
      </c>
      <c r="FG117" s="14">
        <f t="shared" si="101"/>
        <v>2.136562777003313E-12</v>
      </c>
      <c r="FH117" s="22">
        <f t="shared" si="76"/>
        <v>3.9806453659427267E-12</v>
      </c>
      <c r="FI117" s="60">
        <f t="shared" si="77"/>
        <v>293.33333333333729</v>
      </c>
      <c r="FJ117" s="60">
        <f ca="1">AVERAGE(OFFSET($FI$3,0,0,'Données projet'!$E$16+1,1))-AVERAGE(OFFSET($H$3,0,0,'Données projet'!$E$16+1,1))</f>
        <v>274.38315511766132</v>
      </c>
      <c r="FK117" s="60">
        <f t="shared" si="102"/>
        <v>255.96663040027175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-1.1368683772161603E-13</v>
      </c>
      <c r="GA117" s="18">
        <f>FZ117*VLOOKUP('Données projet'!$B$17,Paramètres!$A$1:$I$89,3,0)*VLOOKUP('Données projet'!$B$17,Paramètres!$A$1:$I$89,5,0)</f>
        <v>-9.7543306765146564E-14</v>
      </c>
      <c r="GB117" s="14" t="e">
        <f t="shared" si="103"/>
        <v>#NUM!</v>
      </c>
      <c r="GC117" s="22" t="e">
        <f t="shared" si="79"/>
        <v>#NUM!</v>
      </c>
      <c r="GD117" s="60" t="e">
        <f t="shared" si="80"/>
        <v>#NUM!</v>
      </c>
      <c r="GE117" s="60">
        <f ca="1">AVERAGE(OFFSET($GD$3,0,0,'Données projet'!$E$17+1,1))-AVERAGE(OFFSET($H$3,0,0,'Données projet'!$E$17+1,1))</f>
        <v>445.81166342116865</v>
      </c>
      <c r="GF117" s="60">
        <f t="shared" si="104"/>
        <v>230.82970731138215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5.6843418860808015E-14</v>
      </c>
      <c r="GV117" s="18">
        <f>GU117*VLOOKUP('Données projet'!$B$18,Paramètres!$A$1:$I$89,3,0)*VLOOKUP('Données projet'!$B$18,Paramètres!$A$1:$I$89,5,0)</f>
        <v>4.4337866711430253E-14</v>
      </c>
      <c r="GW117" s="14">
        <f t="shared" si="105"/>
        <v>7.3222115536967035E-13</v>
      </c>
      <c r="GX117" s="22">
        <f t="shared" si="82"/>
        <v>1.3525069634579169E-12</v>
      </c>
      <c r="GY117" s="60">
        <f t="shared" si="83"/>
        <v>293.33333333333468</v>
      </c>
      <c r="GZ117" s="60">
        <f ca="1">AVERAGE(OFFSET($GY$3,0,0,'Données projet'!$E$18+1,1))-AVERAGE(OFFSET($H$3,0,0,'Données projet'!$E$18+1,1))</f>
        <v>289.19475369871481</v>
      </c>
      <c r="HA117" s="60">
        <f t="shared" si="106"/>
        <v>283.48738729114024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projet'!$B$18,Paramètres!$A$1:$I$89,3,0)*0.475*44/12</f>
        <v>0</v>
      </c>
      <c r="HH117" s="23">
        <f>EXP(-LN(2)/25)*HH116+(1-EXP(-LN(2)/25))/(LN(2)/25)*Calculateur!HC117*Calculateur!HE117*VLOOKUP('Données projet'!$B$18,Paramètres!$A$1:$I$89,3,0)*0.475*44/12</f>
        <v>0</v>
      </c>
      <c r="HI117" s="23">
        <f>EXP(-LN(2)/2)*HI116+(1-EXP(-LN(2)/2))/(LN(2)/2)*HC117*HF117*VLOOKUP('Données projet'!$B$18,Paramètres!$A$1:$I$89,3,0)*0.475*44/12</f>
        <v>0</v>
      </c>
      <c r="HJ117" s="24">
        <f t="shared" si="84"/>
        <v>0</v>
      </c>
    </row>
    <row r="118" spans="1:218" s="5" customFormat="1" x14ac:dyDescent="0.3">
      <c r="A118" s="11">
        <f t="shared" si="85"/>
        <v>115</v>
      </c>
      <c r="B118" s="75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8">
        <f t="shared" si="56"/>
        <v>256.66666666666669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304</v>
      </c>
      <c r="L118" s="13">
        <f>VLOOKUP(A118,'Données projet'!$A$35:$I$55,9,0)</f>
        <v>4</v>
      </c>
      <c r="M118" s="13">
        <f t="array" ref="M118">INDEX(L:L,MIN(IF(ISNUMBER(L118:L314),ROW(L118:L314),"")))</f>
        <v>4</v>
      </c>
      <c r="N118" s="14">
        <f>IF('Données projet'!$A$36&gt;35,N117+M118-V117,IF(A118&lt;'Données projet'!$A$36,$K$205^A118,IF(A118='Données projet'!$A$36,'Données projet'!$B$36,N117+M118-V117)))</f>
        <v>303.99999999999972</v>
      </c>
      <c r="O118" s="14">
        <f>N118*VLOOKUP('Données projet'!$B$9,Paramètres!$A$1:$I$89,3,0)*VLOOKUP('Données projet'!$B$9,Paramètres!$A$1:$I$89,5,0)</f>
        <v>294.02879999999971</v>
      </c>
      <c r="P118" s="14">
        <f t="shared" si="87"/>
        <v>69.923209651185601</v>
      </c>
      <c r="Q118" s="22">
        <f t="shared" si="107"/>
        <v>633.88308347581449</v>
      </c>
      <c r="R118" s="60">
        <f t="shared" si="55"/>
        <v>927.21641680914786</v>
      </c>
      <c r="S118" s="60">
        <f ca="1">AVERAGE(OFFSET($R$3,0,0,'Données projet'!$E$9+1,1))-AVERAGE(OFFSET($H$3,0,0,'Données projet'!$E$9+1,1))</f>
        <v>456.86147223520601</v>
      </c>
      <c r="T118" s="60">
        <f t="shared" si="88"/>
        <v>244.45149244446094</v>
      </c>
      <c r="U118" s="16">
        <f>IF(ISNA(VLOOKUP(A118,'Données projet'!$A$35:$I$55,3,0)),0,VLOOKUP(A118,'Données projet'!$A$35:$I$55,3,0))</f>
        <v>10</v>
      </c>
      <c r="V118" s="16">
        <f>IF(ISNA(VLOOKUP(A118,'Données projet'!$A$35:$I$55,4,0)),0,VLOOKUP(A118,'Données projet'!$A$35:$I$55,4,0))</f>
        <v>37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2.5579538487363607E-13</v>
      </c>
      <c r="AJ118" s="14">
        <f>AI118*VLOOKUP('Données projet'!$B$10,Paramètres!$A$1:$I$89,3,0)*VLOOKUP('Données projet'!$B$10,Paramètres!$A$1:$I$89,5,0)</f>
        <v>1.6759713616920635E-13</v>
      </c>
      <c r="AK118" s="14">
        <f t="shared" si="89"/>
        <v>2.3709043131075133E-12</v>
      </c>
      <c r="AL118" s="22">
        <f t="shared" si="58"/>
        <v>4.4212233574902864E-12</v>
      </c>
      <c r="AM118" s="60">
        <f t="shared" si="59"/>
        <v>293.33333333333775</v>
      </c>
      <c r="AN118" s="60">
        <f ca="1">AVERAGE(OFFSET($AM$3,0,0,'Données projet'!$E$10+1,1))-AVERAGE(OFFSET($H$3,0,0,'Données projet'!$E$10+1,1))</f>
        <v>170.79567854714986</v>
      </c>
      <c r="AO118" s="60">
        <f t="shared" si="90"/>
        <v>155.92788004111191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-1.1368683772161603E-13</v>
      </c>
      <c r="BE118" s="14">
        <f>BD118*VLOOKUP('Données projet'!$B$11,Paramètres!$A$1:$I$89,3,0)*VLOOKUP('Données projet'!$B$11,Paramètres!$A$1:$I$89,5,0)</f>
        <v>-9.2222762759774927E-14</v>
      </c>
      <c r="BF118" s="14" t="e">
        <f t="shared" si="91"/>
        <v>#NUM!</v>
      </c>
      <c r="BG118" s="22" t="e">
        <f t="shared" si="61"/>
        <v>#NUM!</v>
      </c>
      <c r="BH118" s="60" t="e">
        <f t="shared" si="62"/>
        <v>#NUM!</v>
      </c>
      <c r="BI118" s="60">
        <f ca="1">AVERAGE(OFFSET($BH$3,0,0,'Données projet'!$E$11+1,1))-AVERAGE(OFFSET($H$3,0,0,'Données projet'!$E$11+1,1))</f>
        <v>256.19915261735281</v>
      </c>
      <c r="BJ118" s="60">
        <f t="shared" si="92"/>
        <v>297.47246687305056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2.8205128205128216</v>
      </c>
      <c r="BY118" s="13">
        <f>IF('Données projet'!$A$114&gt;35,BY117+BX118-CG117,IF(A118&lt;'Données projet'!$A$114,$BV$205^A118,IF(A118='Données projet'!$A$114,'Données projet'!$B$114,BY117+BX118-CG117)))</f>
        <v>248.07692307692304</v>
      </c>
      <c r="BZ118" s="14">
        <f>BY118*VLOOKUP('Données projet'!$B$12,Paramètres!$A$1:$I$89,3,0)*VLOOKUP('Données projet'!$B$12,Paramètres!$A$1:$I$89,5,0)</f>
        <v>236.06999999999994</v>
      </c>
      <c r="CA118" s="14">
        <f t="shared" si="93"/>
        <v>57.593161045607836</v>
      </c>
      <c r="CB118" s="22">
        <f t="shared" si="64"/>
        <v>511.46333882110008</v>
      </c>
      <c r="CC118" s="60">
        <f t="shared" si="65"/>
        <v>804.7966721544334</v>
      </c>
      <c r="CD118" s="60">
        <f ca="1">AVERAGE(OFFSET($CC$3,0,0,'Données projet'!$E$12+1,1))-AVERAGE(OFFSET($H$3,0,0,'Données projet'!$E$12+1,1))</f>
        <v>353.53401919391234</v>
      </c>
      <c r="CE118" s="60">
        <f t="shared" si="94"/>
        <v>244.7141066773861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>
        <f>VLOOKUP(A118,'Données projet'!$A$139:$I$159,2,0)</f>
        <v>304</v>
      </c>
      <c r="CR118" s="13">
        <f>VLOOKUP(A118,'Données projet'!$A$139:$I$159,9,0)</f>
        <v>4</v>
      </c>
      <c r="CS118" s="13">
        <f t="array" ref="CS118">INDEX(CR:CR,MIN(IF(ISNUMBER(CR118:CR314),ROW(CR118:CR314),"")))</f>
        <v>4</v>
      </c>
      <c r="CT118" s="13">
        <f>IF('Données projet'!$A$140&gt;35,CT117+CS118-DB117,IF(A118&lt;'Données projet'!$A$140,$CQ$205^A118,IF(A118='Données projet'!$A$140,'Données projet'!$B$140,CT117+CS118-DB117)))</f>
        <v>303.99999999999972</v>
      </c>
      <c r="CU118" s="18">
        <f>CT118*VLOOKUP('Données projet'!$B$13,Paramètres!$A$1:$I$89,3,0)*VLOOKUP('Données projet'!$B$13,Paramètres!$A$1:$I$89,5,0)</f>
        <v>256.08959999999979</v>
      </c>
      <c r="CV118" s="14">
        <f t="shared" si="95"/>
        <v>61.888104962349715</v>
      </c>
      <c r="CW118" s="22">
        <f t="shared" si="67"/>
        <v>553.811169476092</v>
      </c>
      <c r="CX118" s="60">
        <f t="shared" si="68"/>
        <v>847.14450280942538</v>
      </c>
      <c r="CY118" s="60">
        <f ca="1">AVERAGE(OFFSET($CX$3,0,0,'Données projet'!$E$13+1,1))-AVERAGE(OFFSET($H$3,0,0,'Données projet'!$E$13+1,1))</f>
        <v>403.33327536410098</v>
      </c>
      <c r="CZ118" s="60">
        <f t="shared" si="96"/>
        <v>218.26721063098552</v>
      </c>
      <c r="DA118" s="16">
        <f>IF(ISNA(VLOOKUP(A118,'Données projet'!$A$139:$I$159,3,0)),0,VLOOKUP(A118,'Données projet'!$A$139:$I$159,3,0))</f>
        <v>10</v>
      </c>
      <c r="DB118" s="16">
        <f>IF(ISNA(VLOOKUP(A118,'Données projet'!$A$139:$I$159,4,0)),0,VLOOKUP(A118,'Données projet'!$A$139:$I$159,4,0))</f>
        <v>37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3.4106051316484809E-13</v>
      </c>
      <c r="DP118" s="18">
        <f>DO118*VLOOKUP('Données projet'!$B$14,Paramètres!$A$1:$I$89,3,0)*VLOOKUP('Données projet'!$B$14,Paramètres!$A$1:$I$89,5,0)</f>
        <v>2.7134774427395314E-13</v>
      </c>
      <c r="DQ118" s="14">
        <f t="shared" si="97"/>
        <v>3.6292411711343559E-12</v>
      </c>
      <c r="DR118" s="22">
        <f t="shared" si="70"/>
        <v>6.7935256943361388E-12</v>
      </c>
      <c r="DS118" s="60">
        <f t="shared" si="71"/>
        <v>293.33333333334014</v>
      </c>
      <c r="DT118" s="60">
        <f ca="1">AVERAGE(OFFSET($DS$3,0,0,'Données projet'!$E$14+1,1))-AVERAGE(OFFSET($H$3,0,0,'Données projet'!$E$14+1,1))</f>
        <v>317.13087551964747</v>
      </c>
      <c r="DU118" s="60">
        <f t="shared" si="98"/>
        <v>293.43300041793185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1.7053025658242404E-13</v>
      </c>
      <c r="EK118" s="18">
        <f>EJ118*VLOOKUP('Données projet'!$B$15,Paramètres!$A$1:$I$89,3,0)*VLOOKUP('Données projet'!$B$15,Paramètres!$A$1:$I$89,5,0)</f>
        <v>1.3567387213697657E-13</v>
      </c>
      <c r="EL118" s="14">
        <f t="shared" si="99"/>
        <v>1.9670967679808581E-12</v>
      </c>
      <c r="EM118" s="22">
        <f t="shared" si="73"/>
        <v>3.6623255315385623E-12</v>
      </c>
      <c r="EN118" s="60">
        <f t="shared" si="74"/>
        <v>293.33333333333695</v>
      </c>
      <c r="EO118" s="60">
        <f ca="1">AVERAGE(OFFSET($EN$3,0,0,'Données projet'!$E$15+1,1))-AVERAGE(OFFSET($H$3,0,0,'Données projet'!$E$15+1,1))</f>
        <v>253.03289960511904</v>
      </c>
      <c r="EP118" s="60">
        <f t="shared" si="100"/>
        <v>236.85088713056018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1.7053025658242404E-13</v>
      </c>
      <c r="FF118" s="18">
        <f>FE118*VLOOKUP('Données projet'!$B$16,Paramètres!$A$1:$I$89,3,0)*VLOOKUP('Données projet'!$B$16,Paramètres!$A$1:$I$89,5,0)</f>
        <v>1.4897523215040567E-13</v>
      </c>
      <c r="FG118" s="14">
        <f t="shared" si="101"/>
        <v>2.136562777003313E-12</v>
      </c>
      <c r="FH118" s="22">
        <f t="shared" si="76"/>
        <v>3.9806453659427267E-12</v>
      </c>
      <c r="FI118" s="60">
        <f t="shared" si="77"/>
        <v>293.33333333333729</v>
      </c>
      <c r="FJ118" s="60">
        <f ca="1">AVERAGE(OFFSET($FI$3,0,0,'Données projet'!$E$16+1,1))-AVERAGE(OFFSET($H$3,0,0,'Données projet'!$E$16+1,1))</f>
        <v>274.38315511766132</v>
      </c>
      <c r="FK118" s="60">
        <f t="shared" si="102"/>
        <v>255.96663040027175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-1.1368683772161603E-13</v>
      </c>
      <c r="GA118" s="18">
        <f>FZ118*VLOOKUP('Données projet'!$B$17,Paramètres!$A$1:$I$89,3,0)*VLOOKUP('Données projet'!$B$17,Paramètres!$A$1:$I$89,5,0)</f>
        <v>-9.7543306765146564E-14</v>
      </c>
      <c r="GB118" s="14" t="e">
        <f t="shared" si="103"/>
        <v>#NUM!</v>
      </c>
      <c r="GC118" s="22" t="e">
        <f t="shared" si="79"/>
        <v>#NUM!</v>
      </c>
      <c r="GD118" s="60" t="e">
        <f t="shared" si="80"/>
        <v>#NUM!</v>
      </c>
      <c r="GE118" s="60">
        <f ca="1">AVERAGE(OFFSET($GD$3,0,0,'Données projet'!$E$17+1,1))-AVERAGE(OFFSET($H$3,0,0,'Données projet'!$E$17+1,1))</f>
        <v>445.81166342116865</v>
      </c>
      <c r="GF118" s="60">
        <f t="shared" si="104"/>
        <v>230.82970731138215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5.6843418860808015E-14</v>
      </c>
      <c r="GV118" s="18">
        <f>GU118*VLOOKUP('Données projet'!$B$18,Paramètres!$A$1:$I$89,3,0)*VLOOKUP('Données projet'!$B$18,Paramètres!$A$1:$I$89,5,0)</f>
        <v>4.4337866711430253E-14</v>
      </c>
      <c r="GW118" s="14">
        <f t="shared" si="105"/>
        <v>7.3222115536967035E-13</v>
      </c>
      <c r="GX118" s="22">
        <f t="shared" si="82"/>
        <v>1.3525069634579169E-12</v>
      </c>
      <c r="GY118" s="60">
        <f t="shared" si="83"/>
        <v>293.33333333333468</v>
      </c>
      <c r="GZ118" s="60">
        <f ca="1">AVERAGE(OFFSET($GY$3,0,0,'Données projet'!$E$18+1,1))-AVERAGE(OFFSET($H$3,0,0,'Données projet'!$E$18+1,1))</f>
        <v>289.19475369871481</v>
      </c>
      <c r="HA118" s="60">
        <f t="shared" si="106"/>
        <v>283.48738729114024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projet'!$B$18,Paramètres!$A$1:$I$89,3,0)*0.475*44/12</f>
        <v>0</v>
      </c>
      <c r="HH118" s="23">
        <f>EXP(-LN(2)/25)*HH117+(1-EXP(-LN(2)/25))/(LN(2)/25)*Calculateur!HC118*Calculateur!HE118*VLOOKUP('Données projet'!$B$18,Paramètres!$A$1:$I$89,3,0)*0.475*44/12</f>
        <v>0</v>
      </c>
      <c r="HI118" s="23">
        <f>EXP(-LN(2)/2)*HI117+(1-EXP(-LN(2)/2))/(LN(2)/2)*HC118*HF118*VLOOKUP('Données projet'!$B$18,Paramètres!$A$1:$I$89,3,0)*0.475*44/12</f>
        <v>0</v>
      </c>
      <c r="HJ118" s="24">
        <f t="shared" si="84"/>
        <v>0</v>
      </c>
    </row>
    <row r="119" spans="1:218" s="5" customFormat="1" x14ac:dyDescent="0.3">
      <c r="A119" s="11">
        <f t="shared" si="85"/>
        <v>116</v>
      </c>
      <c r="B119" s="75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8">
        <f t="shared" si="56"/>
        <v>256.66666666666669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3.4</v>
      </c>
      <c r="N119" s="14">
        <f>IF('Données projet'!$A$36&gt;35,N118+M119-V118,IF(A119&lt;'Données projet'!$A$36,$K$205^A119,IF(A119='Données projet'!$A$36,'Données projet'!$B$36,N118+M119-V118)))</f>
        <v>270.39999999999969</v>
      </c>
      <c r="O119" s="14">
        <f>N119*VLOOKUP('Données projet'!$B$9,Paramètres!$A$1:$I$89,3,0)*VLOOKUP('Données projet'!$B$9,Paramètres!$A$1:$I$89,5,0)</f>
        <v>261.53087999999968</v>
      </c>
      <c r="P119" s="14">
        <f t="shared" si="87"/>
        <v>63.048588127701258</v>
      </c>
      <c r="Q119" s="22">
        <f t="shared" si="107"/>
        <v>565.30924032241239</v>
      </c>
      <c r="R119" s="60">
        <f t="shared" si="55"/>
        <v>858.64257365574576</v>
      </c>
      <c r="S119" s="60">
        <f ca="1">AVERAGE(OFFSET($R$3,0,0,'Données projet'!$E$9+1,1))-AVERAGE(OFFSET($H$3,0,0,'Données projet'!$E$9+1,1))</f>
        <v>456.86147223520601</v>
      </c>
      <c r="T119" s="60">
        <f t="shared" si="88"/>
        <v>244.45149244446094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2.5579538487363607E-13</v>
      </c>
      <c r="AJ119" s="14">
        <f>AI119*VLOOKUP('Données projet'!$B$10,Paramètres!$A$1:$I$89,3,0)*VLOOKUP('Données projet'!$B$10,Paramètres!$A$1:$I$89,5,0)</f>
        <v>1.6759713616920635E-13</v>
      </c>
      <c r="AK119" s="14">
        <f t="shared" si="89"/>
        <v>2.3709043131075133E-12</v>
      </c>
      <c r="AL119" s="22">
        <f t="shared" si="58"/>
        <v>4.4212233574902864E-12</v>
      </c>
      <c r="AM119" s="60">
        <f t="shared" si="59"/>
        <v>293.33333333333775</v>
      </c>
      <c r="AN119" s="60">
        <f ca="1">AVERAGE(OFFSET($AM$3,0,0,'Données projet'!$E$10+1,1))-AVERAGE(OFFSET($H$3,0,0,'Données projet'!$E$10+1,1))</f>
        <v>170.79567854714986</v>
      </c>
      <c r="AO119" s="60">
        <f t="shared" si="90"/>
        <v>155.92788004111191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-1.1368683772161603E-13</v>
      </c>
      <c r="BE119" s="14">
        <f>BD119*VLOOKUP('Données projet'!$B$11,Paramètres!$A$1:$I$89,3,0)*VLOOKUP('Données projet'!$B$11,Paramètres!$A$1:$I$89,5,0)</f>
        <v>-9.2222762759774927E-14</v>
      </c>
      <c r="BF119" s="14" t="e">
        <f t="shared" si="91"/>
        <v>#NUM!</v>
      </c>
      <c r="BG119" s="22" t="e">
        <f t="shared" si="61"/>
        <v>#NUM!</v>
      </c>
      <c r="BH119" s="60" t="e">
        <f t="shared" si="62"/>
        <v>#NUM!</v>
      </c>
      <c r="BI119" s="60">
        <f ca="1">AVERAGE(OFFSET($BH$3,0,0,'Données projet'!$E$11+1,1))-AVERAGE(OFFSET($H$3,0,0,'Données projet'!$E$11+1,1))</f>
        <v>256.19915261735281</v>
      </c>
      <c r="BJ119" s="60">
        <f t="shared" si="92"/>
        <v>297.47246687305056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2.8205128205128216</v>
      </c>
      <c r="BY119" s="13">
        <f>IF('Données projet'!$A$114&gt;35,BY118+BX119-CG118,IF(A119&lt;'Données projet'!$A$114,$BV$205^A119,IF(A119='Données projet'!$A$114,'Données projet'!$B$114,BY118+BX119-CG118)))</f>
        <v>250.89743589743586</v>
      </c>
      <c r="BZ119" s="14">
        <f>BY119*VLOOKUP('Données projet'!$B$12,Paramètres!$A$1:$I$89,3,0)*VLOOKUP('Données projet'!$B$12,Paramètres!$A$1:$I$89,5,0)</f>
        <v>238.75399999999996</v>
      </c>
      <c r="CA119" s="14">
        <f t="shared" si="93"/>
        <v>58.171366352922625</v>
      </c>
      <c r="CB119" s="22">
        <f t="shared" si="64"/>
        <v>517.14501306467344</v>
      </c>
      <c r="CC119" s="60">
        <f t="shared" si="65"/>
        <v>810.47834639800681</v>
      </c>
      <c r="CD119" s="60">
        <f ca="1">AVERAGE(OFFSET($CC$3,0,0,'Données projet'!$E$12+1,1))-AVERAGE(OFFSET($H$3,0,0,'Données projet'!$E$12+1,1))</f>
        <v>353.53401919391234</v>
      </c>
      <c r="CE119" s="60">
        <f t="shared" si="94"/>
        <v>244.7141066773861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3.4</v>
      </c>
      <c r="CT119" s="13">
        <f>IF('Données projet'!$A$140&gt;35,CT118+CS119-DB118,IF(A119&lt;'Données projet'!$A$140,$CQ$205^A119,IF(A119='Données projet'!$A$140,'Données projet'!$B$140,CT118+CS119-DB118)))</f>
        <v>270.39999999999969</v>
      </c>
      <c r="CU119" s="18">
        <f>CT119*VLOOKUP('Données projet'!$B$13,Paramètres!$A$1:$I$89,3,0)*VLOOKUP('Données projet'!$B$13,Paramètres!$A$1:$I$89,5,0)</f>
        <v>227.78495999999978</v>
      </c>
      <c r="CV119" s="14">
        <f t="shared" si="95"/>
        <v>55.803468680001693</v>
      </c>
      <c r="CW119" s="22">
        <f t="shared" si="67"/>
        <v>493.91651328433591</v>
      </c>
      <c r="CX119" s="60">
        <f t="shared" si="68"/>
        <v>787.24984661766916</v>
      </c>
      <c r="CY119" s="60">
        <f ca="1">AVERAGE(OFFSET($CX$3,0,0,'Données projet'!$E$13+1,1))-AVERAGE(OFFSET($H$3,0,0,'Données projet'!$E$13+1,1))</f>
        <v>403.33327536410098</v>
      </c>
      <c r="CZ119" s="60">
        <f t="shared" si="96"/>
        <v>218.26721063098552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3.4106051316484809E-13</v>
      </c>
      <c r="DP119" s="18">
        <f>DO119*VLOOKUP('Données projet'!$B$14,Paramètres!$A$1:$I$89,3,0)*VLOOKUP('Données projet'!$B$14,Paramètres!$A$1:$I$89,5,0)</f>
        <v>2.7134774427395314E-13</v>
      </c>
      <c r="DQ119" s="14">
        <f t="shared" si="97"/>
        <v>3.6292411711343559E-12</v>
      </c>
      <c r="DR119" s="22">
        <f t="shared" si="70"/>
        <v>6.7935256943361388E-12</v>
      </c>
      <c r="DS119" s="60">
        <f t="shared" si="71"/>
        <v>293.33333333334014</v>
      </c>
      <c r="DT119" s="60">
        <f ca="1">AVERAGE(OFFSET($DS$3,0,0,'Données projet'!$E$14+1,1))-AVERAGE(OFFSET($H$3,0,0,'Données projet'!$E$14+1,1))</f>
        <v>317.13087551964747</v>
      </c>
      <c r="DU119" s="60">
        <f t="shared" si="98"/>
        <v>293.43300041793185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1.7053025658242404E-13</v>
      </c>
      <c r="EK119" s="18">
        <f>EJ119*VLOOKUP('Données projet'!$B$15,Paramètres!$A$1:$I$89,3,0)*VLOOKUP('Données projet'!$B$15,Paramètres!$A$1:$I$89,5,0)</f>
        <v>1.3567387213697657E-13</v>
      </c>
      <c r="EL119" s="14">
        <f t="shared" si="99"/>
        <v>1.9670967679808581E-12</v>
      </c>
      <c r="EM119" s="22">
        <f t="shared" si="73"/>
        <v>3.6623255315385623E-12</v>
      </c>
      <c r="EN119" s="60">
        <f t="shared" si="74"/>
        <v>293.33333333333695</v>
      </c>
      <c r="EO119" s="60">
        <f ca="1">AVERAGE(OFFSET($EN$3,0,0,'Données projet'!$E$15+1,1))-AVERAGE(OFFSET($H$3,0,0,'Données projet'!$E$15+1,1))</f>
        <v>253.03289960511904</v>
      </c>
      <c r="EP119" s="60">
        <f t="shared" si="100"/>
        <v>236.85088713056018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1.7053025658242404E-13</v>
      </c>
      <c r="FF119" s="18">
        <f>FE119*VLOOKUP('Données projet'!$B$16,Paramètres!$A$1:$I$89,3,0)*VLOOKUP('Données projet'!$B$16,Paramètres!$A$1:$I$89,5,0)</f>
        <v>1.4897523215040567E-13</v>
      </c>
      <c r="FG119" s="14">
        <f t="shared" si="101"/>
        <v>2.136562777003313E-12</v>
      </c>
      <c r="FH119" s="22">
        <f t="shared" si="76"/>
        <v>3.9806453659427267E-12</v>
      </c>
      <c r="FI119" s="60">
        <f t="shared" si="77"/>
        <v>293.33333333333729</v>
      </c>
      <c r="FJ119" s="60">
        <f ca="1">AVERAGE(OFFSET($FI$3,0,0,'Données projet'!$E$16+1,1))-AVERAGE(OFFSET($H$3,0,0,'Données projet'!$E$16+1,1))</f>
        <v>274.38315511766132</v>
      </c>
      <c r="FK119" s="60">
        <f t="shared" si="102"/>
        <v>255.96663040027175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-1.1368683772161603E-13</v>
      </c>
      <c r="GA119" s="18">
        <f>FZ119*VLOOKUP('Données projet'!$B$17,Paramètres!$A$1:$I$89,3,0)*VLOOKUP('Données projet'!$B$17,Paramètres!$A$1:$I$89,5,0)</f>
        <v>-9.7543306765146564E-14</v>
      </c>
      <c r="GB119" s="14" t="e">
        <f t="shared" si="103"/>
        <v>#NUM!</v>
      </c>
      <c r="GC119" s="22" t="e">
        <f t="shared" si="79"/>
        <v>#NUM!</v>
      </c>
      <c r="GD119" s="60" t="e">
        <f t="shared" si="80"/>
        <v>#NUM!</v>
      </c>
      <c r="GE119" s="60">
        <f ca="1">AVERAGE(OFFSET($GD$3,0,0,'Données projet'!$E$17+1,1))-AVERAGE(OFFSET($H$3,0,0,'Données projet'!$E$17+1,1))</f>
        <v>445.81166342116865</v>
      </c>
      <c r="GF119" s="60">
        <f t="shared" si="104"/>
        <v>230.82970731138215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5.6843418860808015E-14</v>
      </c>
      <c r="GV119" s="18">
        <f>GU119*VLOOKUP('Données projet'!$B$18,Paramètres!$A$1:$I$89,3,0)*VLOOKUP('Données projet'!$B$18,Paramètres!$A$1:$I$89,5,0)</f>
        <v>4.4337866711430253E-14</v>
      </c>
      <c r="GW119" s="14">
        <f t="shared" si="105"/>
        <v>7.3222115536967035E-13</v>
      </c>
      <c r="GX119" s="22">
        <f t="shared" si="82"/>
        <v>1.3525069634579169E-12</v>
      </c>
      <c r="GY119" s="60">
        <f t="shared" si="83"/>
        <v>293.33333333333468</v>
      </c>
      <c r="GZ119" s="60">
        <f ca="1">AVERAGE(OFFSET($GY$3,0,0,'Données projet'!$E$18+1,1))-AVERAGE(OFFSET($H$3,0,0,'Données projet'!$E$18+1,1))</f>
        <v>289.19475369871481</v>
      </c>
      <c r="HA119" s="60">
        <f t="shared" si="106"/>
        <v>283.48738729114024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projet'!$B$18,Paramètres!$A$1:$I$89,3,0)*0.475*44/12</f>
        <v>0</v>
      </c>
      <c r="HH119" s="23">
        <f>EXP(-LN(2)/25)*HH118+(1-EXP(-LN(2)/25))/(LN(2)/25)*Calculateur!HC119*Calculateur!HE119*VLOOKUP('Données projet'!$B$18,Paramètres!$A$1:$I$89,3,0)*0.475*44/12</f>
        <v>0</v>
      </c>
      <c r="HI119" s="23">
        <f>EXP(-LN(2)/2)*HI118+(1-EXP(-LN(2)/2))/(LN(2)/2)*HC119*HF119*VLOOKUP('Données projet'!$B$18,Paramètres!$A$1:$I$89,3,0)*0.475*44/12</f>
        <v>0</v>
      </c>
      <c r="HJ119" s="24">
        <f t="shared" si="84"/>
        <v>0</v>
      </c>
    </row>
    <row r="120" spans="1:218" s="5" customFormat="1" x14ac:dyDescent="0.3">
      <c r="A120" s="11">
        <f t="shared" si="85"/>
        <v>117</v>
      </c>
      <c r="B120" s="75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8">
        <f t="shared" si="56"/>
        <v>256.66666666666669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3.4</v>
      </c>
      <c r="N120" s="14">
        <f>IF('Données projet'!$A$36&gt;35,N119+M120-V119,IF(A120&lt;'Données projet'!$A$36,$K$205^A120,IF(A120='Données projet'!$A$36,'Données projet'!$B$36,N119+M120-V119)))</f>
        <v>273.79999999999967</v>
      </c>
      <c r="O120" s="14">
        <f>N120*VLOOKUP('Données projet'!$B$9,Paramètres!$A$1:$I$89,3,0)*VLOOKUP('Données projet'!$B$9,Paramètres!$A$1:$I$89,5,0)</f>
        <v>264.81935999999968</v>
      </c>
      <c r="P120" s="14">
        <f t="shared" si="87"/>
        <v>63.748570085237006</v>
      </c>
      <c r="Q120" s="22">
        <f t="shared" si="107"/>
        <v>572.25581156512055</v>
      </c>
      <c r="R120" s="60">
        <f t="shared" si="55"/>
        <v>865.58914489845392</v>
      </c>
      <c r="S120" s="60">
        <f ca="1">AVERAGE(OFFSET($R$3,0,0,'Données projet'!$E$9+1,1))-AVERAGE(OFFSET($H$3,0,0,'Données projet'!$E$9+1,1))</f>
        <v>456.86147223520601</v>
      </c>
      <c r="T120" s="60">
        <f t="shared" si="88"/>
        <v>244.45149244446094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2.5579538487363607E-13</v>
      </c>
      <c r="AJ120" s="14">
        <f>AI120*VLOOKUP('Données projet'!$B$10,Paramètres!$A$1:$I$89,3,0)*VLOOKUP('Données projet'!$B$10,Paramètres!$A$1:$I$89,5,0)</f>
        <v>1.6759713616920635E-13</v>
      </c>
      <c r="AK120" s="14">
        <f t="shared" si="89"/>
        <v>2.3709043131075133E-12</v>
      </c>
      <c r="AL120" s="22">
        <f t="shared" si="58"/>
        <v>4.4212233574902864E-12</v>
      </c>
      <c r="AM120" s="60">
        <f t="shared" si="59"/>
        <v>293.33333333333775</v>
      </c>
      <c r="AN120" s="60">
        <f ca="1">AVERAGE(OFFSET($AM$3,0,0,'Données projet'!$E$10+1,1))-AVERAGE(OFFSET($H$3,0,0,'Données projet'!$E$10+1,1))</f>
        <v>170.79567854714986</v>
      </c>
      <c r="AO120" s="60">
        <f t="shared" si="90"/>
        <v>155.92788004111191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-1.1368683772161603E-13</v>
      </c>
      <c r="BE120" s="14">
        <f>BD120*VLOOKUP('Données projet'!$B$11,Paramètres!$A$1:$I$89,3,0)*VLOOKUP('Données projet'!$B$11,Paramètres!$A$1:$I$89,5,0)</f>
        <v>-9.2222762759774927E-14</v>
      </c>
      <c r="BF120" s="14" t="e">
        <f t="shared" si="91"/>
        <v>#NUM!</v>
      </c>
      <c r="BG120" s="22" t="e">
        <f t="shared" si="61"/>
        <v>#NUM!</v>
      </c>
      <c r="BH120" s="60" t="e">
        <f t="shared" si="62"/>
        <v>#NUM!</v>
      </c>
      <c r="BI120" s="60">
        <f ca="1">AVERAGE(OFFSET($BH$3,0,0,'Données projet'!$E$11+1,1))-AVERAGE(OFFSET($H$3,0,0,'Données projet'!$E$11+1,1))</f>
        <v>256.19915261735281</v>
      </c>
      <c r="BJ120" s="60">
        <f t="shared" si="92"/>
        <v>297.47246687305056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2.8205128205128216</v>
      </c>
      <c r="BY120" s="13">
        <f>IF('Données projet'!$A$114&gt;35,BY119+BX120-CG119,IF(A120&lt;'Données projet'!$A$114,$BV$205^A120,IF(A120='Données projet'!$A$114,'Données projet'!$B$114,BY119+BX120-CG119)))</f>
        <v>253.71794871794867</v>
      </c>
      <c r="BZ120" s="14">
        <f>BY120*VLOOKUP('Données projet'!$B$12,Paramètres!$A$1:$I$89,3,0)*VLOOKUP('Données projet'!$B$12,Paramètres!$A$1:$I$89,5,0)</f>
        <v>241.43799999999996</v>
      </c>
      <c r="CA120" s="14">
        <f t="shared" si="93"/>
        <v>58.748815537201274</v>
      </c>
      <c r="CB120" s="22">
        <f t="shared" si="64"/>
        <v>522.82537039395879</v>
      </c>
      <c r="CC120" s="60">
        <f t="shared" si="65"/>
        <v>816.15870372729205</v>
      </c>
      <c r="CD120" s="60">
        <f ca="1">AVERAGE(OFFSET($CC$3,0,0,'Données projet'!$E$12+1,1))-AVERAGE(OFFSET($H$3,0,0,'Données projet'!$E$12+1,1))</f>
        <v>353.53401919391234</v>
      </c>
      <c r="CE120" s="60">
        <f t="shared" si="94"/>
        <v>244.7141066773861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3.4</v>
      </c>
      <c r="CT120" s="13">
        <f>IF('Données projet'!$A$140&gt;35,CT119+CS120-DB119,IF(A120&lt;'Données projet'!$A$140,$CQ$205^A120,IF(A120='Données projet'!$A$140,'Données projet'!$B$140,CT119+CS120-DB119)))</f>
        <v>273.79999999999967</v>
      </c>
      <c r="CU120" s="18">
        <f>CT120*VLOOKUP('Données projet'!$B$13,Paramètres!$A$1:$I$89,3,0)*VLOOKUP('Données projet'!$B$13,Paramètres!$A$1:$I$89,5,0)</f>
        <v>230.64911999999975</v>
      </c>
      <c r="CV120" s="14">
        <f t="shared" si="95"/>
        <v>56.423013421666532</v>
      </c>
      <c r="CW120" s="22">
        <f t="shared" si="67"/>
        <v>499.98396570940207</v>
      </c>
      <c r="CX120" s="60">
        <f t="shared" si="68"/>
        <v>793.31729904273539</v>
      </c>
      <c r="CY120" s="60">
        <f ca="1">AVERAGE(OFFSET($CX$3,0,0,'Données projet'!$E$13+1,1))-AVERAGE(OFFSET($H$3,0,0,'Données projet'!$E$13+1,1))</f>
        <v>403.33327536410098</v>
      </c>
      <c r="CZ120" s="60">
        <f t="shared" si="96"/>
        <v>218.26721063098552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3.4106051316484809E-13</v>
      </c>
      <c r="DP120" s="18">
        <f>DO120*VLOOKUP('Données projet'!$B$14,Paramètres!$A$1:$I$89,3,0)*VLOOKUP('Données projet'!$B$14,Paramètres!$A$1:$I$89,5,0)</f>
        <v>2.7134774427395314E-13</v>
      </c>
      <c r="DQ120" s="14">
        <f t="shared" si="97"/>
        <v>3.6292411711343559E-12</v>
      </c>
      <c r="DR120" s="22">
        <f t="shared" si="70"/>
        <v>6.7935256943361388E-12</v>
      </c>
      <c r="DS120" s="60">
        <f t="shared" si="71"/>
        <v>293.33333333334014</v>
      </c>
      <c r="DT120" s="60">
        <f ca="1">AVERAGE(OFFSET($DS$3,0,0,'Données projet'!$E$14+1,1))-AVERAGE(OFFSET($H$3,0,0,'Données projet'!$E$14+1,1))</f>
        <v>317.13087551964747</v>
      </c>
      <c r="DU120" s="60">
        <f t="shared" si="98"/>
        <v>293.43300041793185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1.7053025658242404E-13</v>
      </c>
      <c r="EK120" s="18">
        <f>EJ120*VLOOKUP('Données projet'!$B$15,Paramètres!$A$1:$I$89,3,0)*VLOOKUP('Données projet'!$B$15,Paramètres!$A$1:$I$89,5,0)</f>
        <v>1.3567387213697657E-13</v>
      </c>
      <c r="EL120" s="14">
        <f t="shared" si="99"/>
        <v>1.9670967679808581E-12</v>
      </c>
      <c r="EM120" s="22">
        <f t="shared" si="73"/>
        <v>3.6623255315385623E-12</v>
      </c>
      <c r="EN120" s="60">
        <f t="shared" si="74"/>
        <v>293.33333333333695</v>
      </c>
      <c r="EO120" s="60">
        <f ca="1">AVERAGE(OFFSET($EN$3,0,0,'Données projet'!$E$15+1,1))-AVERAGE(OFFSET($H$3,0,0,'Données projet'!$E$15+1,1))</f>
        <v>253.03289960511904</v>
      </c>
      <c r="EP120" s="60">
        <f t="shared" si="100"/>
        <v>236.85088713056018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1.7053025658242404E-13</v>
      </c>
      <c r="FF120" s="18">
        <f>FE120*VLOOKUP('Données projet'!$B$16,Paramètres!$A$1:$I$89,3,0)*VLOOKUP('Données projet'!$B$16,Paramètres!$A$1:$I$89,5,0)</f>
        <v>1.4897523215040567E-13</v>
      </c>
      <c r="FG120" s="14">
        <f t="shared" si="101"/>
        <v>2.136562777003313E-12</v>
      </c>
      <c r="FH120" s="22">
        <f t="shared" si="76"/>
        <v>3.9806453659427267E-12</v>
      </c>
      <c r="FI120" s="60">
        <f t="shared" si="77"/>
        <v>293.33333333333729</v>
      </c>
      <c r="FJ120" s="60">
        <f ca="1">AVERAGE(OFFSET($FI$3,0,0,'Données projet'!$E$16+1,1))-AVERAGE(OFFSET($H$3,0,0,'Données projet'!$E$16+1,1))</f>
        <v>274.38315511766132</v>
      </c>
      <c r="FK120" s="60">
        <f t="shared" si="102"/>
        <v>255.96663040027175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-1.1368683772161603E-13</v>
      </c>
      <c r="GA120" s="18">
        <f>FZ120*VLOOKUP('Données projet'!$B$17,Paramètres!$A$1:$I$89,3,0)*VLOOKUP('Données projet'!$B$17,Paramètres!$A$1:$I$89,5,0)</f>
        <v>-9.7543306765146564E-14</v>
      </c>
      <c r="GB120" s="14" t="e">
        <f t="shared" si="103"/>
        <v>#NUM!</v>
      </c>
      <c r="GC120" s="22" t="e">
        <f t="shared" si="79"/>
        <v>#NUM!</v>
      </c>
      <c r="GD120" s="60" t="e">
        <f t="shared" si="80"/>
        <v>#NUM!</v>
      </c>
      <c r="GE120" s="60">
        <f ca="1">AVERAGE(OFFSET($GD$3,0,0,'Données projet'!$E$17+1,1))-AVERAGE(OFFSET($H$3,0,0,'Données projet'!$E$17+1,1))</f>
        <v>445.81166342116865</v>
      </c>
      <c r="GF120" s="60">
        <f t="shared" si="104"/>
        <v>230.82970731138215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5.6843418860808015E-14</v>
      </c>
      <c r="GV120" s="18">
        <f>GU120*VLOOKUP('Données projet'!$B$18,Paramètres!$A$1:$I$89,3,0)*VLOOKUP('Données projet'!$B$18,Paramètres!$A$1:$I$89,5,0)</f>
        <v>4.4337866711430253E-14</v>
      </c>
      <c r="GW120" s="14">
        <f t="shared" si="105"/>
        <v>7.3222115536967035E-13</v>
      </c>
      <c r="GX120" s="22">
        <f t="shared" si="82"/>
        <v>1.3525069634579169E-12</v>
      </c>
      <c r="GY120" s="60">
        <f t="shared" si="83"/>
        <v>293.33333333333468</v>
      </c>
      <c r="GZ120" s="60">
        <f ca="1">AVERAGE(OFFSET($GY$3,0,0,'Données projet'!$E$18+1,1))-AVERAGE(OFFSET($H$3,0,0,'Données projet'!$E$18+1,1))</f>
        <v>289.19475369871481</v>
      </c>
      <c r="HA120" s="60">
        <f t="shared" si="106"/>
        <v>283.48738729114024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projet'!$B$18,Paramètres!$A$1:$I$89,3,0)*0.475*44/12</f>
        <v>0</v>
      </c>
      <c r="HH120" s="23">
        <f>EXP(-LN(2)/25)*HH119+(1-EXP(-LN(2)/25))/(LN(2)/25)*Calculateur!HC120*Calculateur!HE120*VLOOKUP('Données projet'!$B$18,Paramètres!$A$1:$I$89,3,0)*0.475*44/12</f>
        <v>0</v>
      </c>
      <c r="HI120" s="23">
        <f>EXP(-LN(2)/2)*HI119+(1-EXP(-LN(2)/2))/(LN(2)/2)*HC120*HF120*VLOOKUP('Données projet'!$B$18,Paramètres!$A$1:$I$89,3,0)*0.475*44/12</f>
        <v>0</v>
      </c>
      <c r="HJ120" s="24">
        <f t="shared" si="84"/>
        <v>0</v>
      </c>
    </row>
    <row r="121" spans="1:218" s="5" customFormat="1" x14ac:dyDescent="0.3">
      <c r="A121" s="11">
        <f t="shared" si="85"/>
        <v>118</v>
      </c>
      <c r="B121" s="75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8">
        <f t="shared" si="56"/>
        <v>256.66666666666669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3.4</v>
      </c>
      <c r="N121" s="14">
        <f>IF('Données projet'!$A$36&gt;35,N120+M121-V120,IF(A121&lt;'Données projet'!$A$36,$K$205^A121,IF(A121='Données projet'!$A$36,'Données projet'!$B$36,N120+M121-V120)))</f>
        <v>277.19999999999965</v>
      </c>
      <c r="O121" s="14">
        <f>N121*VLOOKUP('Données projet'!$B$9,Paramètres!$A$1:$I$89,3,0)*VLOOKUP('Données projet'!$B$9,Paramètres!$A$1:$I$89,5,0)</f>
        <v>268.10783999999967</v>
      </c>
      <c r="P121" s="14">
        <f t="shared" si="87"/>
        <v>64.447540968014124</v>
      </c>
      <c r="Q121" s="22">
        <f t="shared" si="107"/>
        <v>579.20062185262395</v>
      </c>
      <c r="R121" s="60">
        <f t="shared" si="55"/>
        <v>872.53395518595721</v>
      </c>
      <c r="S121" s="60">
        <f ca="1">AVERAGE(OFFSET($R$3,0,0,'Données projet'!$E$9+1,1))-AVERAGE(OFFSET($H$3,0,0,'Données projet'!$E$9+1,1))</f>
        <v>456.86147223520601</v>
      </c>
      <c r="T121" s="60">
        <f t="shared" si="88"/>
        <v>244.45149244446094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2.5579538487363607E-13</v>
      </c>
      <c r="AJ121" s="14">
        <f>AI121*VLOOKUP('Données projet'!$B$10,Paramètres!$A$1:$I$89,3,0)*VLOOKUP('Données projet'!$B$10,Paramètres!$A$1:$I$89,5,0)</f>
        <v>1.6759713616920635E-13</v>
      </c>
      <c r="AK121" s="14">
        <f t="shared" si="89"/>
        <v>2.3709043131075133E-12</v>
      </c>
      <c r="AL121" s="22">
        <f t="shared" si="58"/>
        <v>4.4212233574902864E-12</v>
      </c>
      <c r="AM121" s="60">
        <f t="shared" si="59"/>
        <v>293.33333333333775</v>
      </c>
      <c r="AN121" s="60">
        <f ca="1">AVERAGE(OFFSET($AM$3,0,0,'Données projet'!$E$10+1,1))-AVERAGE(OFFSET($H$3,0,0,'Données projet'!$E$10+1,1))</f>
        <v>170.79567854714986</v>
      </c>
      <c r="AO121" s="60">
        <f t="shared" si="90"/>
        <v>155.92788004111191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-1.1368683772161603E-13</v>
      </c>
      <c r="BE121" s="14">
        <f>BD121*VLOOKUP('Données projet'!$B$11,Paramètres!$A$1:$I$89,3,0)*VLOOKUP('Données projet'!$B$11,Paramètres!$A$1:$I$89,5,0)</f>
        <v>-9.2222762759774927E-14</v>
      </c>
      <c r="BF121" s="14" t="e">
        <f t="shared" si="91"/>
        <v>#NUM!</v>
      </c>
      <c r="BG121" s="22" t="e">
        <f t="shared" si="61"/>
        <v>#NUM!</v>
      </c>
      <c r="BH121" s="60" t="e">
        <f t="shared" si="62"/>
        <v>#NUM!</v>
      </c>
      <c r="BI121" s="60">
        <f ca="1">AVERAGE(OFFSET($BH$3,0,0,'Données projet'!$E$11+1,1))-AVERAGE(OFFSET($H$3,0,0,'Données projet'!$E$11+1,1))</f>
        <v>256.19915261735281</v>
      </c>
      <c r="BJ121" s="60">
        <f t="shared" si="92"/>
        <v>297.47246687305056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2.8205128205128216</v>
      </c>
      <c r="BY121" s="13">
        <f>IF('Données projet'!$A$114&gt;35,BY120+BX121-CG120,IF(A121&lt;'Données projet'!$A$114,$BV$205^A121,IF(A121='Données projet'!$A$114,'Données projet'!$B$114,BY120+BX121-CG120)))</f>
        <v>256.53846153846149</v>
      </c>
      <c r="BZ121" s="14">
        <f>BY121*VLOOKUP('Données projet'!$B$12,Paramètres!$A$1:$I$89,3,0)*VLOOKUP('Données projet'!$B$12,Paramètres!$A$1:$I$89,5,0)</f>
        <v>244.12199999999996</v>
      </c>
      <c r="CA121" s="14">
        <f t="shared" si="93"/>
        <v>59.32551797678866</v>
      </c>
      <c r="CB121" s="22">
        <f t="shared" si="64"/>
        <v>528.50442714290682</v>
      </c>
      <c r="CC121" s="60">
        <f t="shared" si="65"/>
        <v>821.83776047624019</v>
      </c>
      <c r="CD121" s="60">
        <f ca="1">AVERAGE(OFFSET($CC$3,0,0,'Données projet'!$E$12+1,1))-AVERAGE(OFFSET($H$3,0,0,'Données projet'!$E$12+1,1))</f>
        <v>353.53401919391234</v>
      </c>
      <c r="CE121" s="60">
        <f t="shared" si="94"/>
        <v>244.7141066773861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3.4</v>
      </c>
      <c r="CT121" s="13">
        <f>IF('Données projet'!$A$140&gt;35,CT120+CS121-DB120,IF(A121&lt;'Données projet'!$A$140,$CQ$205^A121,IF(A121='Données projet'!$A$140,'Données projet'!$B$140,CT120+CS121-DB120)))</f>
        <v>277.19999999999965</v>
      </c>
      <c r="CU121" s="18">
        <f>CT121*VLOOKUP('Données projet'!$B$13,Paramètres!$A$1:$I$89,3,0)*VLOOKUP('Données projet'!$B$13,Paramètres!$A$1:$I$89,5,0)</f>
        <v>233.51327999999972</v>
      </c>
      <c r="CV121" s="14">
        <f t="shared" si="95"/>
        <v>57.041663274479788</v>
      </c>
      <c r="CW121" s="22">
        <f t="shared" si="67"/>
        <v>506.04985953638516</v>
      </c>
      <c r="CX121" s="60">
        <f t="shared" si="68"/>
        <v>799.38319286971841</v>
      </c>
      <c r="CY121" s="60">
        <f ca="1">AVERAGE(OFFSET($CX$3,0,0,'Données projet'!$E$13+1,1))-AVERAGE(OFFSET($H$3,0,0,'Données projet'!$E$13+1,1))</f>
        <v>403.33327536410098</v>
      </c>
      <c r="CZ121" s="60">
        <f t="shared" si="96"/>
        <v>218.26721063098552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3.4106051316484809E-13</v>
      </c>
      <c r="DP121" s="18">
        <f>DO121*VLOOKUP('Données projet'!$B$14,Paramètres!$A$1:$I$89,3,0)*VLOOKUP('Données projet'!$B$14,Paramètres!$A$1:$I$89,5,0)</f>
        <v>2.7134774427395314E-13</v>
      </c>
      <c r="DQ121" s="14">
        <f t="shared" si="97"/>
        <v>3.6292411711343559E-12</v>
      </c>
      <c r="DR121" s="22">
        <f t="shared" si="70"/>
        <v>6.7935256943361388E-12</v>
      </c>
      <c r="DS121" s="60">
        <f t="shared" si="71"/>
        <v>293.33333333334014</v>
      </c>
      <c r="DT121" s="60">
        <f ca="1">AVERAGE(OFFSET($DS$3,0,0,'Données projet'!$E$14+1,1))-AVERAGE(OFFSET($H$3,0,0,'Données projet'!$E$14+1,1))</f>
        <v>317.13087551964747</v>
      </c>
      <c r="DU121" s="60">
        <f t="shared" si="98"/>
        <v>293.43300041793185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1.7053025658242404E-13</v>
      </c>
      <c r="EK121" s="18">
        <f>EJ121*VLOOKUP('Données projet'!$B$15,Paramètres!$A$1:$I$89,3,0)*VLOOKUP('Données projet'!$B$15,Paramètres!$A$1:$I$89,5,0)</f>
        <v>1.3567387213697657E-13</v>
      </c>
      <c r="EL121" s="14">
        <f t="shared" si="99"/>
        <v>1.9670967679808581E-12</v>
      </c>
      <c r="EM121" s="22">
        <f t="shared" si="73"/>
        <v>3.6623255315385623E-12</v>
      </c>
      <c r="EN121" s="60">
        <f t="shared" si="74"/>
        <v>293.33333333333695</v>
      </c>
      <c r="EO121" s="60">
        <f ca="1">AVERAGE(OFFSET($EN$3,0,0,'Données projet'!$E$15+1,1))-AVERAGE(OFFSET($H$3,0,0,'Données projet'!$E$15+1,1))</f>
        <v>253.03289960511904</v>
      </c>
      <c r="EP121" s="60">
        <f t="shared" si="100"/>
        <v>236.85088713056018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1.7053025658242404E-13</v>
      </c>
      <c r="FF121" s="18">
        <f>FE121*VLOOKUP('Données projet'!$B$16,Paramètres!$A$1:$I$89,3,0)*VLOOKUP('Données projet'!$B$16,Paramètres!$A$1:$I$89,5,0)</f>
        <v>1.4897523215040567E-13</v>
      </c>
      <c r="FG121" s="14">
        <f t="shared" si="101"/>
        <v>2.136562777003313E-12</v>
      </c>
      <c r="FH121" s="22">
        <f t="shared" si="76"/>
        <v>3.9806453659427267E-12</v>
      </c>
      <c r="FI121" s="60">
        <f t="shared" si="77"/>
        <v>293.33333333333729</v>
      </c>
      <c r="FJ121" s="60">
        <f ca="1">AVERAGE(OFFSET($FI$3,0,0,'Données projet'!$E$16+1,1))-AVERAGE(OFFSET($H$3,0,0,'Données projet'!$E$16+1,1))</f>
        <v>274.38315511766132</v>
      </c>
      <c r="FK121" s="60">
        <f t="shared" si="102"/>
        <v>255.96663040027175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-1.1368683772161603E-13</v>
      </c>
      <c r="GA121" s="18">
        <f>FZ121*VLOOKUP('Données projet'!$B$17,Paramètres!$A$1:$I$89,3,0)*VLOOKUP('Données projet'!$B$17,Paramètres!$A$1:$I$89,5,0)</f>
        <v>-9.7543306765146564E-14</v>
      </c>
      <c r="GB121" s="14" t="e">
        <f t="shared" si="103"/>
        <v>#NUM!</v>
      </c>
      <c r="GC121" s="22" t="e">
        <f t="shared" si="79"/>
        <v>#NUM!</v>
      </c>
      <c r="GD121" s="60" t="e">
        <f t="shared" si="80"/>
        <v>#NUM!</v>
      </c>
      <c r="GE121" s="60">
        <f ca="1">AVERAGE(OFFSET($GD$3,0,0,'Données projet'!$E$17+1,1))-AVERAGE(OFFSET($H$3,0,0,'Données projet'!$E$17+1,1))</f>
        <v>445.81166342116865</v>
      </c>
      <c r="GF121" s="60">
        <f t="shared" si="104"/>
        <v>230.82970731138215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5.6843418860808015E-14</v>
      </c>
      <c r="GV121" s="18">
        <f>GU121*VLOOKUP('Données projet'!$B$18,Paramètres!$A$1:$I$89,3,0)*VLOOKUP('Données projet'!$B$18,Paramètres!$A$1:$I$89,5,0)</f>
        <v>4.4337866711430253E-14</v>
      </c>
      <c r="GW121" s="14">
        <f t="shared" si="105"/>
        <v>7.3222115536967035E-13</v>
      </c>
      <c r="GX121" s="22">
        <f t="shared" si="82"/>
        <v>1.3525069634579169E-12</v>
      </c>
      <c r="GY121" s="60">
        <f t="shared" si="83"/>
        <v>293.33333333333468</v>
      </c>
      <c r="GZ121" s="60">
        <f ca="1">AVERAGE(OFFSET($GY$3,0,0,'Données projet'!$E$18+1,1))-AVERAGE(OFFSET($H$3,0,0,'Données projet'!$E$18+1,1))</f>
        <v>289.19475369871481</v>
      </c>
      <c r="HA121" s="60">
        <f t="shared" si="106"/>
        <v>283.48738729114024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projet'!$B$18,Paramètres!$A$1:$I$89,3,0)*0.475*44/12</f>
        <v>0</v>
      </c>
      <c r="HH121" s="23">
        <f>EXP(-LN(2)/25)*HH120+(1-EXP(-LN(2)/25))/(LN(2)/25)*Calculateur!HC121*Calculateur!HE121*VLOOKUP('Données projet'!$B$18,Paramètres!$A$1:$I$89,3,0)*0.475*44/12</f>
        <v>0</v>
      </c>
      <c r="HI121" s="23">
        <f>EXP(-LN(2)/2)*HI120+(1-EXP(-LN(2)/2))/(LN(2)/2)*HC121*HF121*VLOOKUP('Données projet'!$B$18,Paramètres!$A$1:$I$89,3,0)*0.475*44/12</f>
        <v>0</v>
      </c>
      <c r="HJ121" s="24">
        <f t="shared" si="84"/>
        <v>0</v>
      </c>
    </row>
    <row r="122" spans="1:218" s="5" customFormat="1" x14ac:dyDescent="0.3">
      <c r="A122" s="11">
        <f t="shared" si="85"/>
        <v>119</v>
      </c>
      <c r="B122" s="75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8">
        <f t="shared" si="56"/>
        <v>256.66666666666669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3.4</v>
      </c>
      <c r="N122" s="14">
        <f>IF('Données projet'!$A$36&gt;35,N121+M122-V121,IF(A122&lt;'Données projet'!$A$36,$K$205^A122,IF(A122='Données projet'!$A$36,'Données projet'!$B$36,N121+M122-V121)))</f>
        <v>280.59999999999962</v>
      </c>
      <c r="O122" s="14">
        <f>N122*VLOOKUP('Données projet'!$B$9,Paramètres!$A$1:$I$89,3,0)*VLOOKUP('Données projet'!$B$9,Paramètres!$A$1:$I$89,5,0)</f>
        <v>271.3963199999996</v>
      </c>
      <c r="P122" s="14">
        <f t="shared" si="87"/>
        <v>65.145514611718866</v>
      </c>
      <c r="Q122" s="22">
        <f t="shared" si="107"/>
        <v>586.14369528207624</v>
      </c>
      <c r="R122" s="60">
        <f t="shared" si="55"/>
        <v>879.47702861540961</v>
      </c>
      <c r="S122" s="60">
        <f ca="1">AVERAGE(OFFSET($R$3,0,0,'Données projet'!$E$9+1,1))-AVERAGE(OFFSET($H$3,0,0,'Données projet'!$E$9+1,1))</f>
        <v>456.86147223520601</v>
      </c>
      <c r="T122" s="60">
        <f t="shared" si="88"/>
        <v>244.45149244446094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2.5579538487363607E-13</v>
      </c>
      <c r="AJ122" s="14">
        <f>AI122*VLOOKUP('Données projet'!$B$10,Paramètres!$A$1:$I$89,3,0)*VLOOKUP('Données projet'!$B$10,Paramètres!$A$1:$I$89,5,0)</f>
        <v>1.6759713616920635E-13</v>
      </c>
      <c r="AK122" s="14">
        <f t="shared" si="89"/>
        <v>2.3709043131075133E-12</v>
      </c>
      <c r="AL122" s="22">
        <f t="shared" si="58"/>
        <v>4.4212233574902864E-12</v>
      </c>
      <c r="AM122" s="60">
        <f t="shared" si="59"/>
        <v>293.33333333333775</v>
      </c>
      <c r="AN122" s="60">
        <f ca="1">AVERAGE(OFFSET($AM$3,0,0,'Données projet'!$E$10+1,1))-AVERAGE(OFFSET($H$3,0,0,'Données projet'!$E$10+1,1))</f>
        <v>170.79567854714986</v>
      </c>
      <c r="AO122" s="60">
        <f t="shared" si="90"/>
        <v>155.92788004111191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-1.1368683772161603E-13</v>
      </c>
      <c r="BE122" s="14">
        <f>BD122*VLOOKUP('Données projet'!$B$11,Paramètres!$A$1:$I$89,3,0)*VLOOKUP('Données projet'!$B$11,Paramètres!$A$1:$I$89,5,0)</f>
        <v>-9.2222762759774927E-14</v>
      </c>
      <c r="BF122" s="14" t="e">
        <f t="shared" si="91"/>
        <v>#NUM!</v>
      </c>
      <c r="BG122" s="22" t="e">
        <f t="shared" si="61"/>
        <v>#NUM!</v>
      </c>
      <c r="BH122" s="60" t="e">
        <f t="shared" si="62"/>
        <v>#NUM!</v>
      </c>
      <c r="BI122" s="60">
        <f ca="1">AVERAGE(OFFSET($BH$3,0,0,'Données projet'!$E$11+1,1))-AVERAGE(OFFSET($H$3,0,0,'Données projet'!$E$11+1,1))</f>
        <v>256.19915261735281</v>
      </c>
      <c r="BJ122" s="60">
        <f t="shared" si="92"/>
        <v>297.47246687305056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2.8205128205128216</v>
      </c>
      <c r="BY122" s="13">
        <f>IF('Données projet'!$A$114&gt;35,BY121+BX122-CG121,IF(A122&lt;'Données projet'!$A$114,$BV$205^A122,IF(A122='Données projet'!$A$114,'Données projet'!$B$114,BY121+BX122-CG121)))</f>
        <v>259.35897435897431</v>
      </c>
      <c r="BZ122" s="14">
        <f>BY122*VLOOKUP('Données projet'!$B$12,Paramètres!$A$1:$I$89,3,0)*VLOOKUP('Données projet'!$B$12,Paramètres!$A$1:$I$89,5,0)</f>
        <v>246.80599999999995</v>
      </c>
      <c r="CA122" s="14">
        <f t="shared" si="93"/>
        <v>59.901482831934111</v>
      </c>
      <c r="CB122" s="22">
        <f t="shared" si="64"/>
        <v>534.18219926561835</v>
      </c>
      <c r="CC122" s="60">
        <f t="shared" si="65"/>
        <v>827.51553259895172</v>
      </c>
      <c r="CD122" s="60">
        <f ca="1">AVERAGE(OFFSET($CC$3,0,0,'Données projet'!$E$12+1,1))-AVERAGE(OFFSET($H$3,0,0,'Données projet'!$E$12+1,1))</f>
        <v>353.53401919391234</v>
      </c>
      <c r="CE122" s="60">
        <f t="shared" si="94"/>
        <v>244.7141066773861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3.4</v>
      </c>
      <c r="CT122" s="13">
        <f>IF('Données projet'!$A$140&gt;35,CT121+CS122-DB121,IF(A122&lt;'Données projet'!$A$140,$CQ$205^A122,IF(A122='Données projet'!$A$140,'Données projet'!$B$140,CT121+CS122-DB121)))</f>
        <v>280.59999999999962</v>
      </c>
      <c r="CU122" s="18">
        <f>CT122*VLOOKUP('Données projet'!$B$13,Paramètres!$A$1:$I$89,3,0)*VLOOKUP('Données projet'!$B$13,Paramètres!$A$1:$I$89,5,0)</f>
        <v>236.37743999999969</v>
      </c>
      <c r="CV122" s="14">
        <f t="shared" si="95"/>
        <v>57.659430484223719</v>
      </c>
      <c r="CW122" s="22">
        <f t="shared" si="67"/>
        <v>512.11421609335571</v>
      </c>
      <c r="CX122" s="60">
        <f t="shared" si="68"/>
        <v>805.44754942668897</v>
      </c>
      <c r="CY122" s="60">
        <f ca="1">AVERAGE(OFFSET($CX$3,0,0,'Données projet'!$E$13+1,1))-AVERAGE(OFFSET($H$3,0,0,'Données projet'!$E$13+1,1))</f>
        <v>403.33327536410098</v>
      </c>
      <c r="CZ122" s="60">
        <f t="shared" si="96"/>
        <v>218.26721063098552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3.4106051316484809E-13</v>
      </c>
      <c r="DP122" s="18">
        <f>DO122*VLOOKUP('Données projet'!$B$14,Paramètres!$A$1:$I$89,3,0)*VLOOKUP('Données projet'!$B$14,Paramètres!$A$1:$I$89,5,0)</f>
        <v>2.7134774427395314E-13</v>
      </c>
      <c r="DQ122" s="14">
        <f t="shared" si="97"/>
        <v>3.6292411711343559E-12</v>
      </c>
      <c r="DR122" s="22">
        <f t="shared" si="70"/>
        <v>6.7935256943361388E-12</v>
      </c>
      <c r="DS122" s="60">
        <f t="shared" si="71"/>
        <v>293.33333333334014</v>
      </c>
      <c r="DT122" s="60">
        <f ca="1">AVERAGE(OFFSET($DS$3,0,0,'Données projet'!$E$14+1,1))-AVERAGE(OFFSET($H$3,0,0,'Données projet'!$E$14+1,1))</f>
        <v>317.13087551964747</v>
      </c>
      <c r="DU122" s="60">
        <f t="shared" si="98"/>
        <v>293.43300041793185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1.7053025658242404E-13</v>
      </c>
      <c r="EK122" s="18">
        <f>EJ122*VLOOKUP('Données projet'!$B$15,Paramètres!$A$1:$I$89,3,0)*VLOOKUP('Données projet'!$B$15,Paramètres!$A$1:$I$89,5,0)</f>
        <v>1.3567387213697657E-13</v>
      </c>
      <c r="EL122" s="14">
        <f t="shared" si="99"/>
        <v>1.9670967679808581E-12</v>
      </c>
      <c r="EM122" s="22">
        <f t="shared" si="73"/>
        <v>3.6623255315385623E-12</v>
      </c>
      <c r="EN122" s="60">
        <f t="shared" si="74"/>
        <v>293.33333333333695</v>
      </c>
      <c r="EO122" s="60">
        <f ca="1">AVERAGE(OFFSET($EN$3,0,0,'Données projet'!$E$15+1,1))-AVERAGE(OFFSET($H$3,0,0,'Données projet'!$E$15+1,1))</f>
        <v>253.03289960511904</v>
      </c>
      <c r="EP122" s="60">
        <f t="shared" si="100"/>
        <v>236.85088713056018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1.7053025658242404E-13</v>
      </c>
      <c r="FF122" s="18">
        <f>FE122*VLOOKUP('Données projet'!$B$16,Paramètres!$A$1:$I$89,3,0)*VLOOKUP('Données projet'!$B$16,Paramètres!$A$1:$I$89,5,0)</f>
        <v>1.4897523215040567E-13</v>
      </c>
      <c r="FG122" s="14">
        <f t="shared" si="101"/>
        <v>2.136562777003313E-12</v>
      </c>
      <c r="FH122" s="22">
        <f t="shared" si="76"/>
        <v>3.9806453659427267E-12</v>
      </c>
      <c r="FI122" s="60">
        <f t="shared" si="77"/>
        <v>293.33333333333729</v>
      </c>
      <c r="FJ122" s="60">
        <f ca="1">AVERAGE(OFFSET($FI$3,0,0,'Données projet'!$E$16+1,1))-AVERAGE(OFFSET($H$3,0,0,'Données projet'!$E$16+1,1))</f>
        <v>274.38315511766132</v>
      </c>
      <c r="FK122" s="60">
        <f t="shared" si="102"/>
        <v>255.96663040027175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-1.1368683772161603E-13</v>
      </c>
      <c r="GA122" s="18">
        <f>FZ122*VLOOKUP('Données projet'!$B$17,Paramètres!$A$1:$I$89,3,0)*VLOOKUP('Données projet'!$B$17,Paramètres!$A$1:$I$89,5,0)</f>
        <v>-9.7543306765146564E-14</v>
      </c>
      <c r="GB122" s="14" t="e">
        <f t="shared" si="103"/>
        <v>#NUM!</v>
      </c>
      <c r="GC122" s="22" t="e">
        <f t="shared" si="79"/>
        <v>#NUM!</v>
      </c>
      <c r="GD122" s="60" t="e">
        <f t="shared" si="80"/>
        <v>#NUM!</v>
      </c>
      <c r="GE122" s="60">
        <f ca="1">AVERAGE(OFFSET($GD$3,0,0,'Données projet'!$E$17+1,1))-AVERAGE(OFFSET($H$3,0,0,'Données projet'!$E$17+1,1))</f>
        <v>445.81166342116865</v>
      </c>
      <c r="GF122" s="60">
        <f t="shared" si="104"/>
        <v>230.82970731138215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5.6843418860808015E-14</v>
      </c>
      <c r="GV122" s="18">
        <f>GU122*VLOOKUP('Données projet'!$B$18,Paramètres!$A$1:$I$89,3,0)*VLOOKUP('Données projet'!$B$18,Paramètres!$A$1:$I$89,5,0)</f>
        <v>4.4337866711430253E-14</v>
      </c>
      <c r="GW122" s="14">
        <f t="shared" si="105"/>
        <v>7.3222115536967035E-13</v>
      </c>
      <c r="GX122" s="22">
        <f t="shared" si="82"/>
        <v>1.3525069634579169E-12</v>
      </c>
      <c r="GY122" s="60">
        <f t="shared" si="83"/>
        <v>293.33333333333468</v>
      </c>
      <c r="GZ122" s="60">
        <f ca="1">AVERAGE(OFFSET($GY$3,0,0,'Données projet'!$E$18+1,1))-AVERAGE(OFFSET($H$3,0,0,'Données projet'!$E$18+1,1))</f>
        <v>289.19475369871481</v>
      </c>
      <c r="HA122" s="60">
        <f t="shared" si="106"/>
        <v>283.48738729114024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projet'!$B$18,Paramètres!$A$1:$I$89,3,0)*0.475*44/12</f>
        <v>0</v>
      </c>
      <c r="HH122" s="23">
        <f>EXP(-LN(2)/25)*HH121+(1-EXP(-LN(2)/25))/(LN(2)/25)*Calculateur!HC122*Calculateur!HE122*VLOOKUP('Données projet'!$B$18,Paramètres!$A$1:$I$89,3,0)*0.475*44/12</f>
        <v>0</v>
      </c>
      <c r="HI122" s="23">
        <f>EXP(-LN(2)/2)*HI121+(1-EXP(-LN(2)/2))/(LN(2)/2)*HC122*HF122*VLOOKUP('Données projet'!$B$18,Paramètres!$A$1:$I$89,3,0)*0.475*44/12</f>
        <v>0</v>
      </c>
      <c r="HJ122" s="24">
        <f t="shared" si="84"/>
        <v>0</v>
      </c>
    </row>
    <row r="123" spans="1:218" s="5" customFormat="1" x14ac:dyDescent="0.3">
      <c r="A123" s="11">
        <f t="shared" si="85"/>
        <v>120</v>
      </c>
      <c r="B123" s="75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8">
        <f t="shared" si="56"/>
        <v>256.66666666666669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3.4</v>
      </c>
      <c r="N123" s="14">
        <f>IF('Données projet'!$A$36&gt;35,N122+M123-V122,IF(A123&lt;'Données projet'!$A$36,$K$205^A123,IF(A123='Données projet'!$A$36,'Données projet'!$B$36,N122+M123-V122)))</f>
        <v>283.9999999999996</v>
      </c>
      <c r="O123" s="14">
        <f>N123*VLOOKUP('Données projet'!$B$9,Paramètres!$A$1:$I$89,3,0)*VLOOKUP('Données projet'!$B$9,Paramètres!$A$1:$I$89,5,0)</f>
        <v>274.68479999999965</v>
      </c>
      <c r="P123" s="14">
        <f t="shared" si="87"/>
        <v>65.842504497456602</v>
      </c>
      <c r="Q123" s="22">
        <f t="shared" si="107"/>
        <v>593.08505533306959</v>
      </c>
      <c r="R123" s="60">
        <f t="shared" si="55"/>
        <v>886.41838866640296</v>
      </c>
      <c r="S123" s="60">
        <f ca="1">AVERAGE(OFFSET($R$3,0,0,'Données projet'!$E$9+1,1))-AVERAGE(OFFSET($H$3,0,0,'Données projet'!$E$9+1,1))</f>
        <v>456.86147223520601</v>
      </c>
      <c r="T123" s="60">
        <f t="shared" si="88"/>
        <v>244.45149244446094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2.5579538487363607E-13</v>
      </c>
      <c r="AJ123" s="14">
        <f>AI123*VLOOKUP('Données projet'!$B$10,Paramètres!$A$1:$I$89,3,0)*VLOOKUP('Données projet'!$B$10,Paramètres!$A$1:$I$89,5,0)</f>
        <v>1.6759713616920635E-13</v>
      </c>
      <c r="AK123" s="14">
        <f t="shared" si="89"/>
        <v>2.3709043131075133E-12</v>
      </c>
      <c r="AL123" s="22">
        <f t="shared" si="58"/>
        <v>4.4212233574902864E-12</v>
      </c>
      <c r="AM123" s="60">
        <f t="shared" si="59"/>
        <v>293.33333333333775</v>
      </c>
      <c r="AN123" s="60">
        <f ca="1">AVERAGE(OFFSET($AM$3,0,0,'Données projet'!$E$10+1,1))-AVERAGE(OFFSET($H$3,0,0,'Données projet'!$E$10+1,1))</f>
        <v>170.79567854714986</v>
      </c>
      <c r="AO123" s="60">
        <f t="shared" si="90"/>
        <v>155.92788004111191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-1.1368683772161603E-13</v>
      </c>
      <c r="BE123" s="14">
        <f>BD123*VLOOKUP('Données projet'!$B$11,Paramètres!$A$1:$I$89,3,0)*VLOOKUP('Données projet'!$B$11,Paramètres!$A$1:$I$89,5,0)</f>
        <v>-9.2222762759774927E-14</v>
      </c>
      <c r="BF123" s="14" t="e">
        <f t="shared" si="91"/>
        <v>#NUM!</v>
      </c>
      <c r="BG123" s="22" t="e">
        <f t="shared" si="61"/>
        <v>#NUM!</v>
      </c>
      <c r="BH123" s="60" t="e">
        <f t="shared" si="62"/>
        <v>#NUM!</v>
      </c>
      <c r="BI123" s="60">
        <f ca="1">AVERAGE(OFFSET($BH$3,0,0,'Données projet'!$E$11+1,1))-AVERAGE(OFFSET($H$3,0,0,'Données projet'!$E$11+1,1))</f>
        <v>256.19915261735281</v>
      </c>
      <c r="BJ123" s="60">
        <f t="shared" si="92"/>
        <v>297.47246687305056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262.17948717948718</v>
      </c>
      <c r="BW123" s="13">
        <f>VLOOKUP(A123,'Données projet'!$A$113:$I$133,9,0)</f>
        <v>2.8205128205128216</v>
      </c>
      <c r="BX123" s="13">
        <f t="array" ref="BX123">INDEX(BW:BW,MIN(IF(ISNUMBER(BW123:BW319),ROW(BW123:BW319),"")))</f>
        <v>2.8205128205128216</v>
      </c>
      <c r="BY123" s="13">
        <f>IF('Données projet'!$A$114&gt;35,BY122+BX123-CG122,IF(A123&lt;'Données projet'!$A$114,$BV$205^A123,IF(A123='Données projet'!$A$114,'Données projet'!$B$114,BY122+BX123-CG122)))</f>
        <v>262.17948717948713</v>
      </c>
      <c r="BZ123" s="14">
        <f>BY123*VLOOKUP('Données projet'!$B$12,Paramètres!$A$1:$I$89,3,0)*VLOOKUP('Données projet'!$B$12,Paramètres!$A$1:$I$89,5,0)</f>
        <v>249.48999999999998</v>
      </c>
      <c r="CA123" s="14">
        <f t="shared" si="93"/>
        <v>60.476719052177842</v>
      </c>
      <c r="CB123" s="22">
        <f t="shared" si="64"/>
        <v>539.85870234920969</v>
      </c>
      <c r="CC123" s="60">
        <f t="shared" si="65"/>
        <v>833.19203568254306</v>
      </c>
      <c r="CD123" s="60">
        <f ca="1">AVERAGE(OFFSET($CC$3,0,0,'Données projet'!$E$12+1,1))-AVERAGE(OFFSET($H$3,0,0,'Données projet'!$E$12+1,1))</f>
        <v>353.53401919391234</v>
      </c>
      <c r="CE123" s="60">
        <f t="shared" si="94"/>
        <v>244.7141066773861</v>
      </c>
      <c r="CF123" s="16">
        <f>IF(ISNA(VLOOKUP(A123,'Données projet'!$A$113:$I$133,3,0)),0,VLOOKUP(A123,'Données projet'!$A$113:$I$133,3,0))</f>
        <v>10</v>
      </c>
      <c r="CG123" s="16">
        <f>IF(ISNA(VLOOKUP(A123,'Données projet'!$A$113:$I$133,4,0)),0,VLOOKUP(A123,'Données projet'!$A$113:$I$133,4,0))</f>
        <v>262.17948717948718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3.4</v>
      </c>
      <c r="CT123" s="13">
        <f>IF('Données projet'!$A$140&gt;35,CT122+CS123-DB122,IF(A123&lt;'Données projet'!$A$140,$CQ$205^A123,IF(A123='Données projet'!$A$140,'Données projet'!$B$140,CT122+CS123-DB122)))</f>
        <v>283.9999999999996</v>
      </c>
      <c r="CU123" s="18">
        <f>CT123*VLOOKUP('Données projet'!$B$13,Paramètres!$A$1:$I$89,3,0)*VLOOKUP('Données projet'!$B$13,Paramètres!$A$1:$I$89,5,0)</f>
        <v>239.24159999999966</v>
      </c>
      <c r="CV123" s="14">
        <f t="shared" si="95"/>
        <v>58.276326982845781</v>
      </c>
      <c r="CW123" s="22">
        <f t="shared" si="67"/>
        <v>518.1770561617891</v>
      </c>
      <c r="CX123" s="60">
        <f t="shared" si="68"/>
        <v>811.51038949512235</v>
      </c>
      <c r="CY123" s="60">
        <f ca="1">AVERAGE(OFFSET($CX$3,0,0,'Données projet'!$E$13+1,1))-AVERAGE(OFFSET($H$3,0,0,'Données projet'!$E$13+1,1))</f>
        <v>403.33327536410098</v>
      </c>
      <c r="CZ123" s="60">
        <f t="shared" si="96"/>
        <v>218.26721063098552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3.4106051316484809E-13</v>
      </c>
      <c r="DP123" s="18">
        <f>DO123*VLOOKUP('Données projet'!$B$14,Paramètres!$A$1:$I$89,3,0)*VLOOKUP('Données projet'!$B$14,Paramètres!$A$1:$I$89,5,0)</f>
        <v>2.7134774427395314E-13</v>
      </c>
      <c r="DQ123" s="14">
        <f t="shared" si="97"/>
        <v>3.6292411711343559E-12</v>
      </c>
      <c r="DR123" s="22">
        <f t="shared" si="70"/>
        <v>6.7935256943361388E-12</v>
      </c>
      <c r="DS123" s="60">
        <f t="shared" si="71"/>
        <v>293.33333333334014</v>
      </c>
      <c r="DT123" s="60">
        <f ca="1">AVERAGE(OFFSET($DS$3,0,0,'Données projet'!$E$14+1,1))-AVERAGE(OFFSET($H$3,0,0,'Données projet'!$E$14+1,1))</f>
        <v>317.13087551964747</v>
      </c>
      <c r="DU123" s="60">
        <f t="shared" si="98"/>
        <v>293.43300041793185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1.7053025658242404E-13</v>
      </c>
      <c r="EK123" s="18">
        <f>EJ123*VLOOKUP('Données projet'!$B$15,Paramètres!$A$1:$I$89,3,0)*VLOOKUP('Données projet'!$B$15,Paramètres!$A$1:$I$89,5,0)</f>
        <v>1.3567387213697657E-13</v>
      </c>
      <c r="EL123" s="14">
        <f t="shared" si="99"/>
        <v>1.9670967679808581E-12</v>
      </c>
      <c r="EM123" s="22">
        <f t="shared" si="73"/>
        <v>3.6623255315385623E-12</v>
      </c>
      <c r="EN123" s="60">
        <f t="shared" si="74"/>
        <v>293.33333333333695</v>
      </c>
      <c r="EO123" s="60">
        <f ca="1">AVERAGE(OFFSET($EN$3,0,0,'Données projet'!$E$15+1,1))-AVERAGE(OFFSET($H$3,0,0,'Données projet'!$E$15+1,1))</f>
        <v>253.03289960511904</v>
      </c>
      <c r="EP123" s="60">
        <f t="shared" si="100"/>
        <v>236.85088713056018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1.7053025658242404E-13</v>
      </c>
      <c r="FF123" s="18">
        <f>FE123*VLOOKUP('Données projet'!$B$16,Paramètres!$A$1:$I$89,3,0)*VLOOKUP('Données projet'!$B$16,Paramètres!$A$1:$I$89,5,0)</f>
        <v>1.4897523215040567E-13</v>
      </c>
      <c r="FG123" s="14">
        <f t="shared" si="101"/>
        <v>2.136562777003313E-12</v>
      </c>
      <c r="FH123" s="22">
        <f t="shared" si="76"/>
        <v>3.9806453659427267E-12</v>
      </c>
      <c r="FI123" s="60">
        <f t="shared" si="77"/>
        <v>293.33333333333729</v>
      </c>
      <c r="FJ123" s="60">
        <f ca="1">AVERAGE(OFFSET($FI$3,0,0,'Données projet'!$E$16+1,1))-AVERAGE(OFFSET($H$3,0,0,'Données projet'!$E$16+1,1))</f>
        <v>274.38315511766132</v>
      </c>
      <c r="FK123" s="60">
        <f t="shared" si="102"/>
        <v>255.96663040027175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-1.1368683772161603E-13</v>
      </c>
      <c r="GA123" s="18">
        <f>FZ123*VLOOKUP('Données projet'!$B$17,Paramètres!$A$1:$I$89,3,0)*VLOOKUP('Données projet'!$B$17,Paramètres!$A$1:$I$89,5,0)</f>
        <v>-9.7543306765146564E-14</v>
      </c>
      <c r="GB123" s="14" t="e">
        <f t="shared" si="103"/>
        <v>#NUM!</v>
      </c>
      <c r="GC123" s="22" t="e">
        <f t="shared" si="79"/>
        <v>#NUM!</v>
      </c>
      <c r="GD123" s="60" t="e">
        <f t="shared" si="80"/>
        <v>#NUM!</v>
      </c>
      <c r="GE123" s="60">
        <f ca="1">AVERAGE(OFFSET($GD$3,0,0,'Données projet'!$E$17+1,1))-AVERAGE(OFFSET($H$3,0,0,'Données projet'!$E$17+1,1))</f>
        <v>445.81166342116865</v>
      </c>
      <c r="GF123" s="60">
        <f t="shared" si="104"/>
        <v>230.82970731138215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5.6843418860808015E-14</v>
      </c>
      <c r="GV123" s="18">
        <f>GU123*VLOOKUP('Données projet'!$B$18,Paramètres!$A$1:$I$89,3,0)*VLOOKUP('Données projet'!$B$18,Paramètres!$A$1:$I$89,5,0)</f>
        <v>4.4337866711430253E-14</v>
      </c>
      <c r="GW123" s="14">
        <f t="shared" si="105"/>
        <v>7.3222115536967035E-13</v>
      </c>
      <c r="GX123" s="22">
        <f t="shared" si="82"/>
        <v>1.3525069634579169E-12</v>
      </c>
      <c r="GY123" s="60">
        <f t="shared" si="83"/>
        <v>293.33333333333468</v>
      </c>
      <c r="GZ123" s="60">
        <f ca="1">AVERAGE(OFFSET($GY$3,0,0,'Données projet'!$E$18+1,1))-AVERAGE(OFFSET($H$3,0,0,'Données projet'!$E$18+1,1))</f>
        <v>289.19475369871481</v>
      </c>
      <c r="HA123" s="60">
        <f t="shared" si="106"/>
        <v>283.48738729114024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projet'!$B$18,Paramètres!$A$1:$I$89,3,0)*0.475*44/12</f>
        <v>0</v>
      </c>
      <c r="HH123" s="23">
        <f>EXP(-LN(2)/25)*HH122+(1-EXP(-LN(2)/25))/(LN(2)/25)*Calculateur!HC123*Calculateur!HE123*VLOOKUP('Données projet'!$B$18,Paramètres!$A$1:$I$89,3,0)*0.475*44/12</f>
        <v>0</v>
      </c>
      <c r="HI123" s="23">
        <f>EXP(-LN(2)/2)*HI122+(1-EXP(-LN(2)/2))/(LN(2)/2)*HC123*HF123*VLOOKUP('Données projet'!$B$18,Paramètres!$A$1:$I$89,3,0)*0.475*44/12</f>
        <v>0</v>
      </c>
      <c r="HJ123" s="24">
        <f t="shared" si="84"/>
        <v>0</v>
      </c>
    </row>
    <row r="124" spans="1:218" s="5" customFormat="1" x14ac:dyDescent="0.3">
      <c r="A124" s="11">
        <f t="shared" si="85"/>
        <v>121</v>
      </c>
      <c r="B124" s="75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8">
        <f t="shared" si="56"/>
        <v>256.66666666666669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3.4</v>
      </c>
      <c r="N124" s="14">
        <f>IF('Données projet'!$A$36&gt;35,N123+M124-V123,IF(A124&lt;'Données projet'!$A$36,$K$205^A124,IF(A124='Données projet'!$A$36,'Données projet'!$B$36,N123+M124-V123)))</f>
        <v>287.39999999999958</v>
      </c>
      <c r="O124" s="14">
        <f>N124*VLOOKUP('Données projet'!$B$9,Paramètres!$A$1:$I$89,3,0)*VLOOKUP('Données projet'!$B$9,Paramètres!$A$1:$I$89,5,0)</f>
        <v>277.97327999999959</v>
      </c>
      <c r="P124" s="14">
        <f t="shared" si="87"/>
        <v>66.538523764973078</v>
      </c>
      <c r="Q124" s="22">
        <f t="shared" si="107"/>
        <v>600.02472489066076</v>
      </c>
      <c r="R124" s="60">
        <f t="shared" si="55"/>
        <v>893.35805822399402</v>
      </c>
      <c r="S124" s="60">
        <f ca="1">AVERAGE(OFFSET($R$3,0,0,'Données projet'!$E$9+1,1))-AVERAGE(OFFSET($H$3,0,0,'Données projet'!$E$9+1,1))</f>
        <v>456.86147223520601</v>
      </c>
      <c r="T124" s="60">
        <f t="shared" si="88"/>
        <v>244.45149244446094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2.5579538487363607E-13</v>
      </c>
      <c r="AJ124" s="14">
        <f>AI124*VLOOKUP('Données projet'!$B$10,Paramètres!$A$1:$I$89,3,0)*VLOOKUP('Données projet'!$B$10,Paramètres!$A$1:$I$89,5,0)</f>
        <v>1.6759713616920635E-13</v>
      </c>
      <c r="AK124" s="14">
        <f t="shared" si="89"/>
        <v>2.3709043131075133E-12</v>
      </c>
      <c r="AL124" s="22">
        <f t="shared" si="58"/>
        <v>4.4212233574902864E-12</v>
      </c>
      <c r="AM124" s="60">
        <f t="shared" si="59"/>
        <v>293.33333333333775</v>
      </c>
      <c r="AN124" s="60">
        <f ca="1">AVERAGE(OFFSET($AM$3,0,0,'Données projet'!$E$10+1,1))-AVERAGE(OFFSET($H$3,0,0,'Données projet'!$E$10+1,1))</f>
        <v>170.79567854714986</v>
      </c>
      <c r="AO124" s="60">
        <f t="shared" si="90"/>
        <v>155.92788004111191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-1.1368683772161603E-13</v>
      </c>
      <c r="BE124" s="14">
        <f>BD124*VLOOKUP('Données projet'!$B$11,Paramètres!$A$1:$I$89,3,0)*VLOOKUP('Données projet'!$B$11,Paramètres!$A$1:$I$89,5,0)</f>
        <v>-9.2222762759774927E-14</v>
      </c>
      <c r="BF124" s="14" t="e">
        <f t="shared" si="91"/>
        <v>#NUM!</v>
      </c>
      <c r="BG124" s="22" t="e">
        <f t="shared" si="61"/>
        <v>#NUM!</v>
      </c>
      <c r="BH124" s="60" t="e">
        <f t="shared" si="62"/>
        <v>#NUM!</v>
      </c>
      <c r="BI124" s="60">
        <f ca="1">AVERAGE(OFFSET($BH$3,0,0,'Données projet'!$E$11+1,1))-AVERAGE(OFFSET($H$3,0,0,'Données projet'!$E$11+1,1))</f>
        <v>256.19915261735281</v>
      </c>
      <c r="BJ124" s="60">
        <f t="shared" si="92"/>
        <v>297.47246687305056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-5.6843418860808015E-14</v>
      </c>
      <c r="BZ124" s="14">
        <f>BY124*VLOOKUP('Données projet'!$B$12,Paramètres!$A$1:$I$89,3,0)*VLOOKUP('Données projet'!$B$12,Paramètres!$A$1:$I$89,5,0)</f>
        <v>-5.4092197387944907E-14</v>
      </c>
      <c r="CA124" s="14" t="e">
        <f t="shared" si="93"/>
        <v>#NUM!</v>
      </c>
      <c r="CB124" s="22" t="e">
        <f t="shared" si="64"/>
        <v>#NUM!</v>
      </c>
      <c r="CC124" s="60" t="e">
        <f t="shared" si="65"/>
        <v>#NUM!</v>
      </c>
      <c r="CD124" s="60">
        <f ca="1">AVERAGE(OFFSET($CC$3,0,0,'Données projet'!$E$12+1,1))-AVERAGE(OFFSET($H$3,0,0,'Données projet'!$E$12+1,1))</f>
        <v>353.53401919391234</v>
      </c>
      <c r="CE124" s="60">
        <f t="shared" si="94"/>
        <v>244.7141066773861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3.4</v>
      </c>
      <c r="CT124" s="13">
        <f>IF('Données projet'!$A$140&gt;35,CT123+CS124-DB123,IF(A124&lt;'Données projet'!$A$140,$CQ$205^A124,IF(A124='Données projet'!$A$140,'Données projet'!$B$140,CT123+CS124-DB123)))</f>
        <v>287.39999999999958</v>
      </c>
      <c r="CU124" s="18">
        <f>CT124*VLOOKUP('Données projet'!$B$13,Paramètres!$A$1:$I$89,3,0)*VLOOKUP('Données projet'!$B$13,Paramètres!$A$1:$I$89,5,0)</f>
        <v>242.10575999999966</v>
      </c>
      <c r="CV124" s="14">
        <f t="shared" si="95"/>
        <v>58.892364400160623</v>
      </c>
      <c r="CW124" s="22">
        <f t="shared" si="67"/>
        <v>524.23839999694576</v>
      </c>
      <c r="CX124" s="60">
        <f t="shared" si="68"/>
        <v>817.57173333027913</v>
      </c>
      <c r="CY124" s="60">
        <f ca="1">AVERAGE(OFFSET($CX$3,0,0,'Données projet'!$E$13+1,1))-AVERAGE(OFFSET($H$3,0,0,'Données projet'!$E$13+1,1))</f>
        <v>403.33327536410098</v>
      </c>
      <c r="CZ124" s="60">
        <f t="shared" si="96"/>
        <v>218.26721063098552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3.4106051316484809E-13</v>
      </c>
      <c r="DP124" s="18">
        <f>DO124*VLOOKUP('Données projet'!$B$14,Paramètres!$A$1:$I$89,3,0)*VLOOKUP('Données projet'!$B$14,Paramètres!$A$1:$I$89,5,0)</f>
        <v>2.7134774427395314E-13</v>
      </c>
      <c r="DQ124" s="14">
        <f t="shared" si="97"/>
        <v>3.6292411711343559E-12</v>
      </c>
      <c r="DR124" s="22">
        <f t="shared" si="70"/>
        <v>6.7935256943361388E-12</v>
      </c>
      <c r="DS124" s="60">
        <f t="shared" si="71"/>
        <v>293.33333333334014</v>
      </c>
      <c r="DT124" s="60">
        <f ca="1">AVERAGE(OFFSET($DS$3,0,0,'Données projet'!$E$14+1,1))-AVERAGE(OFFSET($H$3,0,0,'Données projet'!$E$14+1,1))</f>
        <v>317.13087551964747</v>
      </c>
      <c r="DU124" s="60">
        <f t="shared" si="98"/>
        <v>293.43300041793185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1.7053025658242404E-13</v>
      </c>
      <c r="EK124" s="18">
        <f>EJ124*VLOOKUP('Données projet'!$B$15,Paramètres!$A$1:$I$89,3,0)*VLOOKUP('Données projet'!$B$15,Paramètres!$A$1:$I$89,5,0)</f>
        <v>1.3567387213697657E-13</v>
      </c>
      <c r="EL124" s="14">
        <f t="shared" si="99"/>
        <v>1.9670967679808581E-12</v>
      </c>
      <c r="EM124" s="22">
        <f t="shared" si="73"/>
        <v>3.6623255315385623E-12</v>
      </c>
      <c r="EN124" s="60">
        <f t="shared" si="74"/>
        <v>293.33333333333695</v>
      </c>
      <c r="EO124" s="60">
        <f ca="1">AVERAGE(OFFSET($EN$3,0,0,'Données projet'!$E$15+1,1))-AVERAGE(OFFSET($H$3,0,0,'Données projet'!$E$15+1,1))</f>
        <v>253.03289960511904</v>
      </c>
      <c r="EP124" s="60">
        <f t="shared" si="100"/>
        <v>236.85088713056018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1.7053025658242404E-13</v>
      </c>
      <c r="FF124" s="18">
        <f>FE124*VLOOKUP('Données projet'!$B$16,Paramètres!$A$1:$I$89,3,0)*VLOOKUP('Données projet'!$B$16,Paramètres!$A$1:$I$89,5,0)</f>
        <v>1.4897523215040567E-13</v>
      </c>
      <c r="FG124" s="14">
        <f t="shared" si="101"/>
        <v>2.136562777003313E-12</v>
      </c>
      <c r="FH124" s="22">
        <f t="shared" si="76"/>
        <v>3.9806453659427267E-12</v>
      </c>
      <c r="FI124" s="60">
        <f t="shared" si="77"/>
        <v>293.33333333333729</v>
      </c>
      <c r="FJ124" s="60">
        <f ca="1">AVERAGE(OFFSET($FI$3,0,0,'Données projet'!$E$16+1,1))-AVERAGE(OFFSET($H$3,0,0,'Données projet'!$E$16+1,1))</f>
        <v>274.38315511766132</v>
      </c>
      <c r="FK124" s="60">
        <f t="shared" si="102"/>
        <v>255.96663040027175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-1.1368683772161603E-13</v>
      </c>
      <c r="GA124" s="18">
        <f>FZ124*VLOOKUP('Données projet'!$B$17,Paramètres!$A$1:$I$89,3,0)*VLOOKUP('Données projet'!$B$17,Paramètres!$A$1:$I$89,5,0)</f>
        <v>-9.7543306765146564E-14</v>
      </c>
      <c r="GB124" s="14" t="e">
        <f t="shared" si="103"/>
        <v>#NUM!</v>
      </c>
      <c r="GC124" s="22" t="e">
        <f t="shared" si="79"/>
        <v>#NUM!</v>
      </c>
      <c r="GD124" s="60" t="e">
        <f t="shared" si="80"/>
        <v>#NUM!</v>
      </c>
      <c r="GE124" s="60">
        <f ca="1">AVERAGE(OFFSET($GD$3,0,0,'Données projet'!$E$17+1,1))-AVERAGE(OFFSET($H$3,0,0,'Données projet'!$E$17+1,1))</f>
        <v>445.81166342116865</v>
      </c>
      <c r="GF124" s="60">
        <f t="shared" si="104"/>
        <v>230.82970731138215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5.6843418860808015E-14</v>
      </c>
      <c r="GV124" s="18">
        <f>GU124*VLOOKUP('Données projet'!$B$18,Paramètres!$A$1:$I$89,3,0)*VLOOKUP('Données projet'!$B$18,Paramètres!$A$1:$I$89,5,0)</f>
        <v>4.4337866711430253E-14</v>
      </c>
      <c r="GW124" s="14">
        <f t="shared" si="105"/>
        <v>7.3222115536967035E-13</v>
      </c>
      <c r="GX124" s="22">
        <f t="shared" si="82"/>
        <v>1.3525069634579169E-12</v>
      </c>
      <c r="GY124" s="60">
        <f t="shared" si="83"/>
        <v>293.33333333333468</v>
      </c>
      <c r="GZ124" s="60">
        <f ca="1">AVERAGE(OFFSET($GY$3,0,0,'Données projet'!$E$18+1,1))-AVERAGE(OFFSET($H$3,0,0,'Données projet'!$E$18+1,1))</f>
        <v>289.19475369871481</v>
      </c>
      <c r="HA124" s="60">
        <f t="shared" si="106"/>
        <v>283.48738729114024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projet'!$B$18,Paramètres!$A$1:$I$89,3,0)*0.475*44/12</f>
        <v>0</v>
      </c>
      <c r="HH124" s="23">
        <f>EXP(-LN(2)/25)*HH123+(1-EXP(-LN(2)/25))/(LN(2)/25)*Calculateur!HC124*Calculateur!HE124*VLOOKUP('Données projet'!$B$18,Paramètres!$A$1:$I$89,3,0)*0.475*44/12</f>
        <v>0</v>
      </c>
      <c r="HI124" s="23">
        <f>EXP(-LN(2)/2)*HI123+(1-EXP(-LN(2)/2))/(LN(2)/2)*HC124*HF124*VLOOKUP('Données projet'!$B$18,Paramètres!$A$1:$I$89,3,0)*0.475*44/12</f>
        <v>0</v>
      </c>
      <c r="HJ124" s="24">
        <f t="shared" si="84"/>
        <v>0</v>
      </c>
    </row>
    <row r="125" spans="1:218" s="5" customFormat="1" x14ac:dyDescent="0.3">
      <c r="A125" s="11">
        <f t="shared" si="85"/>
        <v>122</v>
      </c>
      <c r="B125" s="75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8">
        <f t="shared" si="56"/>
        <v>256.66666666666669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3.4</v>
      </c>
      <c r="N125" s="14">
        <f>IF('Données projet'!$A$36&gt;35,N124+M125-V124,IF(A125&lt;'Données projet'!$A$36,$K$205^A125,IF(A125='Données projet'!$A$36,'Données projet'!$B$36,N124+M125-V124)))</f>
        <v>290.79999999999956</v>
      </c>
      <c r="O125" s="14">
        <f>N125*VLOOKUP('Données projet'!$B$9,Paramètres!$A$1:$I$89,3,0)*VLOOKUP('Données projet'!$B$9,Paramètres!$A$1:$I$89,5,0)</f>
        <v>281.26175999999958</v>
      </c>
      <c r="P125" s="14">
        <f t="shared" si="87"/>
        <v>67.233585225232218</v>
      </c>
      <c r="Q125" s="22">
        <f t="shared" si="107"/>
        <v>606.96272626727875</v>
      </c>
      <c r="R125" s="60">
        <f t="shared" si="55"/>
        <v>900.29605960061212</v>
      </c>
      <c r="S125" s="60">
        <f ca="1">AVERAGE(OFFSET($R$3,0,0,'Données projet'!$E$9+1,1))-AVERAGE(OFFSET($H$3,0,0,'Données projet'!$E$9+1,1))</f>
        <v>456.86147223520601</v>
      </c>
      <c r="T125" s="60">
        <f t="shared" si="88"/>
        <v>244.45149244446094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2.5579538487363607E-13</v>
      </c>
      <c r="AJ125" s="14">
        <f>AI125*VLOOKUP('Données projet'!$B$10,Paramètres!$A$1:$I$89,3,0)*VLOOKUP('Données projet'!$B$10,Paramètres!$A$1:$I$89,5,0)</f>
        <v>1.6759713616920635E-13</v>
      </c>
      <c r="AK125" s="14">
        <f t="shared" si="89"/>
        <v>2.3709043131075133E-12</v>
      </c>
      <c r="AL125" s="22">
        <f t="shared" si="58"/>
        <v>4.4212233574902864E-12</v>
      </c>
      <c r="AM125" s="60">
        <f t="shared" si="59"/>
        <v>293.33333333333775</v>
      </c>
      <c r="AN125" s="60">
        <f ca="1">AVERAGE(OFFSET($AM$3,0,0,'Données projet'!$E$10+1,1))-AVERAGE(OFFSET($H$3,0,0,'Données projet'!$E$10+1,1))</f>
        <v>170.79567854714986</v>
      </c>
      <c r="AO125" s="60">
        <f t="shared" si="90"/>
        <v>155.92788004111191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-1.1368683772161603E-13</v>
      </c>
      <c r="BE125" s="14">
        <f>BD125*VLOOKUP('Données projet'!$B$11,Paramètres!$A$1:$I$89,3,0)*VLOOKUP('Données projet'!$B$11,Paramètres!$A$1:$I$89,5,0)</f>
        <v>-9.2222762759774927E-14</v>
      </c>
      <c r="BF125" s="14" t="e">
        <f t="shared" si="91"/>
        <v>#NUM!</v>
      </c>
      <c r="BG125" s="22" t="e">
        <f t="shared" si="61"/>
        <v>#NUM!</v>
      </c>
      <c r="BH125" s="60" t="e">
        <f t="shared" si="62"/>
        <v>#NUM!</v>
      </c>
      <c r="BI125" s="60">
        <f ca="1">AVERAGE(OFFSET($BH$3,0,0,'Données projet'!$E$11+1,1))-AVERAGE(OFFSET($H$3,0,0,'Données projet'!$E$11+1,1))</f>
        <v>256.19915261735281</v>
      </c>
      <c r="BJ125" s="60">
        <f t="shared" si="92"/>
        <v>297.47246687305056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-5.6843418860808015E-14</v>
      </c>
      <c r="BZ125" s="14">
        <f>BY125*VLOOKUP('Données projet'!$B$12,Paramètres!$A$1:$I$89,3,0)*VLOOKUP('Données projet'!$B$12,Paramètres!$A$1:$I$89,5,0)</f>
        <v>-5.4092197387944907E-14</v>
      </c>
      <c r="CA125" s="14" t="e">
        <f t="shared" si="93"/>
        <v>#NUM!</v>
      </c>
      <c r="CB125" s="22" t="e">
        <f t="shared" si="64"/>
        <v>#NUM!</v>
      </c>
      <c r="CC125" s="60" t="e">
        <f t="shared" si="65"/>
        <v>#NUM!</v>
      </c>
      <c r="CD125" s="60">
        <f ca="1">AVERAGE(OFFSET($CC$3,0,0,'Données projet'!$E$12+1,1))-AVERAGE(OFFSET($H$3,0,0,'Données projet'!$E$12+1,1))</f>
        <v>353.53401919391234</v>
      </c>
      <c r="CE125" s="60">
        <f t="shared" si="94"/>
        <v>244.7141066773861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3.4</v>
      </c>
      <c r="CT125" s="13">
        <f>IF('Données projet'!$A$140&gt;35,CT124+CS125-DB124,IF(A125&lt;'Données projet'!$A$140,$CQ$205^A125,IF(A125='Données projet'!$A$140,'Données projet'!$B$140,CT124+CS125-DB124)))</f>
        <v>290.79999999999956</v>
      </c>
      <c r="CU125" s="18">
        <f>CT125*VLOOKUP('Données projet'!$B$13,Paramètres!$A$1:$I$89,3,0)*VLOOKUP('Données projet'!$B$13,Paramètres!$A$1:$I$89,5,0)</f>
        <v>244.96991999999966</v>
      </c>
      <c r="CV125" s="14">
        <f t="shared" si="95"/>
        <v>59.507554074982316</v>
      </c>
      <c r="CW125" s="22">
        <f t="shared" si="67"/>
        <v>530.29826734726021</v>
      </c>
      <c r="CX125" s="60">
        <f t="shared" si="68"/>
        <v>823.63160068059346</v>
      </c>
      <c r="CY125" s="60">
        <f ca="1">AVERAGE(OFFSET($CX$3,0,0,'Données projet'!$E$13+1,1))-AVERAGE(OFFSET($H$3,0,0,'Données projet'!$E$13+1,1))</f>
        <v>403.33327536410098</v>
      </c>
      <c r="CZ125" s="60">
        <f t="shared" si="96"/>
        <v>218.26721063098552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3.4106051316484809E-13</v>
      </c>
      <c r="DP125" s="18">
        <f>DO125*VLOOKUP('Données projet'!$B$14,Paramètres!$A$1:$I$89,3,0)*VLOOKUP('Données projet'!$B$14,Paramètres!$A$1:$I$89,5,0)</f>
        <v>2.7134774427395314E-13</v>
      </c>
      <c r="DQ125" s="14">
        <f t="shared" si="97"/>
        <v>3.6292411711343559E-12</v>
      </c>
      <c r="DR125" s="22">
        <f t="shared" si="70"/>
        <v>6.7935256943361388E-12</v>
      </c>
      <c r="DS125" s="60">
        <f t="shared" si="71"/>
        <v>293.33333333334014</v>
      </c>
      <c r="DT125" s="60">
        <f ca="1">AVERAGE(OFFSET($DS$3,0,0,'Données projet'!$E$14+1,1))-AVERAGE(OFFSET($H$3,0,0,'Données projet'!$E$14+1,1))</f>
        <v>317.13087551964747</v>
      </c>
      <c r="DU125" s="60">
        <f t="shared" si="98"/>
        <v>293.43300041793185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1.7053025658242404E-13</v>
      </c>
      <c r="EK125" s="18">
        <f>EJ125*VLOOKUP('Données projet'!$B$15,Paramètres!$A$1:$I$89,3,0)*VLOOKUP('Données projet'!$B$15,Paramètres!$A$1:$I$89,5,0)</f>
        <v>1.3567387213697657E-13</v>
      </c>
      <c r="EL125" s="14">
        <f t="shared" si="99"/>
        <v>1.9670967679808581E-12</v>
      </c>
      <c r="EM125" s="22">
        <f t="shared" si="73"/>
        <v>3.6623255315385623E-12</v>
      </c>
      <c r="EN125" s="60">
        <f t="shared" si="74"/>
        <v>293.33333333333695</v>
      </c>
      <c r="EO125" s="60">
        <f ca="1">AVERAGE(OFFSET($EN$3,0,0,'Données projet'!$E$15+1,1))-AVERAGE(OFFSET($H$3,0,0,'Données projet'!$E$15+1,1))</f>
        <v>253.03289960511904</v>
      </c>
      <c r="EP125" s="60">
        <f t="shared" si="100"/>
        <v>236.85088713056018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1.7053025658242404E-13</v>
      </c>
      <c r="FF125" s="18">
        <f>FE125*VLOOKUP('Données projet'!$B$16,Paramètres!$A$1:$I$89,3,0)*VLOOKUP('Données projet'!$B$16,Paramètres!$A$1:$I$89,5,0)</f>
        <v>1.4897523215040567E-13</v>
      </c>
      <c r="FG125" s="14">
        <f t="shared" si="101"/>
        <v>2.136562777003313E-12</v>
      </c>
      <c r="FH125" s="22">
        <f t="shared" si="76"/>
        <v>3.9806453659427267E-12</v>
      </c>
      <c r="FI125" s="60">
        <f t="shared" si="77"/>
        <v>293.33333333333729</v>
      </c>
      <c r="FJ125" s="60">
        <f ca="1">AVERAGE(OFFSET($FI$3,0,0,'Données projet'!$E$16+1,1))-AVERAGE(OFFSET($H$3,0,0,'Données projet'!$E$16+1,1))</f>
        <v>274.38315511766132</v>
      </c>
      <c r="FK125" s="60">
        <f t="shared" si="102"/>
        <v>255.96663040027175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-1.1368683772161603E-13</v>
      </c>
      <c r="GA125" s="18">
        <f>FZ125*VLOOKUP('Données projet'!$B$17,Paramètres!$A$1:$I$89,3,0)*VLOOKUP('Données projet'!$B$17,Paramètres!$A$1:$I$89,5,0)</f>
        <v>-9.7543306765146564E-14</v>
      </c>
      <c r="GB125" s="14" t="e">
        <f t="shared" si="103"/>
        <v>#NUM!</v>
      </c>
      <c r="GC125" s="22" t="e">
        <f t="shared" si="79"/>
        <v>#NUM!</v>
      </c>
      <c r="GD125" s="60" t="e">
        <f t="shared" si="80"/>
        <v>#NUM!</v>
      </c>
      <c r="GE125" s="60">
        <f ca="1">AVERAGE(OFFSET($GD$3,0,0,'Données projet'!$E$17+1,1))-AVERAGE(OFFSET($H$3,0,0,'Données projet'!$E$17+1,1))</f>
        <v>445.81166342116865</v>
      </c>
      <c r="GF125" s="60">
        <f t="shared" si="104"/>
        <v>230.82970731138215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5.6843418860808015E-14</v>
      </c>
      <c r="GV125" s="18">
        <f>GU125*VLOOKUP('Données projet'!$B$18,Paramètres!$A$1:$I$89,3,0)*VLOOKUP('Données projet'!$B$18,Paramètres!$A$1:$I$89,5,0)</f>
        <v>4.4337866711430253E-14</v>
      </c>
      <c r="GW125" s="14">
        <f t="shared" si="105"/>
        <v>7.3222115536967035E-13</v>
      </c>
      <c r="GX125" s="22">
        <f t="shared" si="82"/>
        <v>1.3525069634579169E-12</v>
      </c>
      <c r="GY125" s="60">
        <f t="shared" si="83"/>
        <v>293.33333333333468</v>
      </c>
      <c r="GZ125" s="60">
        <f ca="1">AVERAGE(OFFSET($GY$3,0,0,'Données projet'!$E$18+1,1))-AVERAGE(OFFSET($H$3,0,0,'Données projet'!$E$18+1,1))</f>
        <v>289.19475369871481</v>
      </c>
      <c r="HA125" s="60">
        <f t="shared" si="106"/>
        <v>283.48738729114024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projet'!$B$18,Paramètres!$A$1:$I$89,3,0)*0.475*44/12</f>
        <v>0</v>
      </c>
      <c r="HH125" s="23">
        <f>EXP(-LN(2)/25)*HH124+(1-EXP(-LN(2)/25))/(LN(2)/25)*Calculateur!HC125*Calculateur!HE125*VLOOKUP('Données projet'!$B$18,Paramètres!$A$1:$I$89,3,0)*0.475*44/12</f>
        <v>0</v>
      </c>
      <c r="HI125" s="23">
        <f>EXP(-LN(2)/2)*HI124+(1-EXP(-LN(2)/2))/(LN(2)/2)*HC125*HF125*VLOOKUP('Données projet'!$B$18,Paramètres!$A$1:$I$89,3,0)*0.475*44/12</f>
        <v>0</v>
      </c>
      <c r="HJ125" s="24">
        <f t="shared" si="84"/>
        <v>0</v>
      </c>
    </row>
    <row r="126" spans="1:218" s="5" customFormat="1" x14ac:dyDescent="0.3">
      <c r="A126" s="11">
        <f t="shared" si="85"/>
        <v>123</v>
      </c>
      <c r="B126" s="75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8">
        <f t="shared" si="56"/>
        <v>256.66666666666669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3.4</v>
      </c>
      <c r="N126" s="14">
        <f>IF('Données projet'!$A$36&gt;35,N125+M126-V125,IF(A126&lt;'Données projet'!$A$36,$K$205^A126,IF(A126='Données projet'!$A$36,'Données projet'!$B$36,N125+M126-V125)))</f>
        <v>294.19999999999953</v>
      </c>
      <c r="O126" s="14">
        <f>N126*VLOOKUP('Données projet'!$B$9,Paramètres!$A$1:$I$89,3,0)*VLOOKUP('Données projet'!$B$9,Paramètres!$A$1:$I$89,5,0)</f>
        <v>284.55023999999958</v>
      </c>
      <c r="P126" s="14">
        <f t="shared" si="87"/>
        <v>67.927701372388498</v>
      </c>
      <c r="Q126" s="22">
        <f t="shared" si="107"/>
        <v>613.89908122357576</v>
      </c>
      <c r="R126" s="60">
        <f t="shared" si="55"/>
        <v>907.23241455690913</v>
      </c>
      <c r="S126" s="60">
        <f ca="1">AVERAGE(OFFSET($R$3,0,0,'Données projet'!$E$9+1,1))-AVERAGE(OFFSET($H$3,0,0,'Données projet'!$E$9+1,1))</f>
        <v>456.86147223520601</v>
      </c>
      <c r="T126" s="60">
        <f t="shared" si="88"/>
        <v>244.45149244446094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2.5579538487363607E-13</v>
      </c>
      <c r="AJ126" s="14">
        <f>AI126*VLOOKUP('Données projet'!$B$10,Paramètres!$A$1:$I$89,3,0)*VLOOKUP('Données projet'!$B$10,Paramètres!$A$1:$I$89,5,0)</f>
        <v>1.6759713616920635E-13</v>
      </c>
      <c r="AK126" s="14">
        <f t="shared" si="89"/>
        <v>2.3709043131075133E-12</v>
      </c>
      <c r="AL126" s="22">
        <f t="shared" si="58"/>
        <v>4.4212233574902864E-12</v>
      </c>
      <c r="AM126" s="60">
        <f t="shared" si="59"/>
        <v>293.33333333333775</v>
      </c>
      <c r="AN126" s="60">
        <f ca="1">AVERAGE(OFFSET($AM$3,0,0,'Données projet'!$E$10+1,1))-AVERAGE(OFFSET($H$3,0,0,'Données projet'!$E$10+1,1))</f>
        <v>170.79567854714986</v>
      </c>
      <c r="AO126" s="60">
        <f t="shared" si="90"/>
        <v>155.92788004111191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-1.1368683772161603E-13</v>
      </c>
      <c r="BE126" s="14">
        <f>BD126*VLOOKUP('Données projet'!$B$11,Paramètres!$A$1:$I$89,3,0)*VLOOKUP('Données projet'!$B$11,Paramètres!$A$1:$I$89,5,0)</f>
        <v>-9.2222762759774927E-14</v>
      </c>
      <c r="BF126" s="14" t="e">
        <f t="shared" si="91"/>
        <v>#NUM!</v>
      </c>
      <c r="BG126" s="22" t="e">
        <f t="shared" si="61"/>
        <v>#NUM!</v>
      </c>
      <c r="BH126" s="60" t="e">
        <f t="shared" si="62"/>
        <v>#NUM!</v>
      </c>
      <c r="BI126" s="60">
        <f ca="1">AVERAGE(OFFSET($BH$3,0,0,'Données projet'!$E$11+1,1))-AVERAGE(OFFSET($H$3,0,0,'Données projet'!$E$11+1,1))</f>
        <v>256.19915261735281</v>
      </c>
      <c r="BJ126" s="60">
        <f t="shared" si="92"/>
        <v>297.47246687305056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-5.6843418860808015E-14</v>
      </c>
      <c r="BZ126" s="14">
        <f>BY126*VLOOKUP('Données projet'!$B$12,Paramètres!$A$1:$I$89,3,0)*VLOOKUP('Données projet'!$B$12,Paramètres!$A$1:$I$89,5,0)</f>
        <v>-5.4092197387944907E-14</v>
      </c>
      <c r="CA126" s="14" t="e">
        <f t="shared" si="93"/>
        <v>#NUM!</v>
      </c>
      <c r="CB126" s="22" t="e">
        <f t="shared" si="64"/>
        <v>#NUM!</v>
      </c>
      <c r="CC126" s="60" t="e">
        <f t="shared" si="65"/>
        <v>#NUM!</v>
      </c>
      <c r="CD126" s="60">
        <f ca="1">AVERAGE(OFFSET($CC$3,0,0,'Données projet'!$E$12+1,1))-AVERAGE(OFFSET($H$3,0,0,'Données projet'!$E$12+1,1))</f>
        <v>353.53401919391234</v>
      </c>
      <c r="CE126" s="60">
        <f t="shared" si="94"/>
        <v>244.7141066773861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3.4</v>
      </c>
      <c r="CT126" s="13">
        <f>IF('Données projet'!$A$140&gt;35,CT125+CS126-DB125,IF(A126&lt;'Données projet'!$A$140,$CQ$205^A126,IF(A126='Données projet'!$A$140,'Données projet'!$B$140,CT125+CS126-DB125)))</f>
        <v>294.19999999999953</v>
      </c>
      <c r="CU126" s="18">
        <f>CT126*VLOOKUP('Données projet'!$B$13,Paramètres!$A$1:$I$89,3,0)*VLOOKUP('Données projet'!$B$13,Paramètres!$A$1:$I$89,5,0)</f>
        <v>247.83407999999966</v>
      </c>
      <c r="CV126" s="14">
        <f t="shared" si="95"/>
        <v>60.121907065721174</v>
      </c>
      <c r="CW126" s="22">
        <f t="shared" si="67"/>
        <v>536.35667747279706</v>
      </c>
      <c r="CX126" s="60">
        <f t="shared" si="68"/>
        <v>829.69001080613043</v>
      </c>
      <c r="CY126" s="60">
        <f ca="1">AVERAGE(OFFSET($CX$3,0,0,'Données projet'!$E$13+1,1))-AVERAGE(OFFSET($H$3,0,0,'Données projet'!$E$13+1,1))</f>
        <v>403.33327536410098</v>
      </c>
      <c r="CZ126" s="60">
        <f t="shared" si="96"/>
        <v>218.26721063098552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3.4106051316484809E-13</v>
      </c>
      <c r="DP126" s="18">
        <f>DO126*VLOOKUP('Données projet'!$B$14,Paramètres!$A$1:$I$89,3,0)*VLOOKUP('Données projet'!$B$14,Paramètres!$A$1:$I$89,5,0)</f>
        <v>2.7134774427395314E-13</v>
      </c>
      <c r="DQ126" s="14">
        <f t="shared" si="97"/>
        <v>3.6292411711343559E-12</v>
      </c>
      <c r="DR126" s="22">
        <f t="shared" si="70"/>
        <v>6.7935256943361388E-12</v>
      </c>
      <c r="DS126" s="60">
        <f t="shared" si="71"/>
        <v>293.33333333334014</v>
      </c>
      <c r="DT126" s="60">
        <f ca="1">AVERAGE(OFFSET($DS$3,0,0,'Données projet'!$E$14+1,1))-AVERAGE(OFFSET($H$3,0,0,'Données projet'!$E$14+1,1))</f>
        <v>317.13087551964747</v>
      </c>
      <c r="DU126" s="60">
        <f t="shared" si="98"/>
        <v>293.43300041793185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1.7053025658242404E-13</v>
      </c>
      <c r="EK126" s="18">
        <f>EJ126*VLOOKUP('Données projet'!$B$15,Paramètres!$A$1:$I$89,3,0)*VLOOKUP('Données projet'!$B$15,Paramètres!$A$1:$I$89,5,0)</f>
        <v>1.3567387213697657E-13</v>
      </c>
      <c r="EL126" s="14">
        <f t="shared" si="99"/>
        <v>1.9670967679808581E-12</v>
      </c>
      <c r="EM126" s="22">
        <f t="shared" si="73"/>
        <v>3.6623255315385623E-12</v>
      </c>
      <c r="EN126" s="60">
        <f t="shared" si="74"/>
        <v>293.33333333333695</v>
      </c>
      <c r="EO126" s="60">
        <f ca="1">AVERAGE(OFFSET($EN$3,0,0,'Données projet'!$E$15+1,1))-AVERAGE(OFFSET($H$3,0,0,'Données projet'!$E$15+1,1))</f>
        <v>253.03289960511904</v>
      </c>
      <c r="EP126" s="60">
        <f t="shared" si="100"/>
        <v>236.85088713056018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1.7053025658242404E-13</v>
      </c>
      <c r="FF126" s="18">
        <f>FE126*VLOOKUP('Données projet'!$B$16,Paramètres!$A$1:$I$89,3,0)*VLOOKUP('Données projet'!$B$16,Paramètres!$A$1:$I$89,5,0)</f>
        <v>1.4897523215040567E-13</v>
      </c>
      <c r="FG126" s="14">
        <f t="shared" si="101"/>
        <v>2.136562777003313E-12</v>
      </c>
      <c r="FH126" s="22">
        <f t="shared" si="76"/>
        <v>3.9806453659427267E-12</v>
      </c>
      <c r="FI126" s="60">
        <f t="shared" si="77"/>
        <v>293.33333333333729</v>
      </c>
      <c r="FJ126" s="60">
        <f ca="1">AVERAGE(OFFSET($FI$3,0,0,'Données projet'!$E$16+1,1))-AVERAGE(OFFSET($H$3,0,0,'Données projet'!$E$16+1,1))</f>
        <v>274.38315511766132</v>
      </c>
      <c r="FK126" s="60">
        <f t="shared" si="102"/>
        <v>255.96663040027175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-1.1368683772161603E-13</v>
      </c>
      <c r="GA126" s="18">
        <f>FZ126*VLOOKUP('Données projet'!$B$17,Paramètres!$A$1:$I$89,3,0)*VLOOKUP('Données projet'!$B$17,Paramètres!$A$1:$I$89,5,0)</f>
        <v>-9.7543306765146564E-14</v>
      </c>
      <c r="GB126" s="14" t="e">
        <f t="shared" si="103"/>
        <v>#NUM!</v>
      </c>
      <c r="GC126" s="22" t="e">
        <f t="shared" si="79"/>
        <v>#NUM!</v>
      </c>
      <c r="GD126" s="60" t="e">
        <f t="shared" si="80"/>
        <v>#NUM!</v>
      </c>
      <c r="GE126" s="60">
        <f ca="1">AVERAGE(OFFSET($GD$3,0,0,'Données projet'!$E$17+1,1))-AVERAGE(OFFSET($H$3,0,0,'Données projet'!$E$17+1,1))</f>
        <v>445.81166342116865</v>
      </c>
      <c r="GF126" s="60">
        <f t="shared" si="104"/>
        <v>230.82970731138215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5.6843418860808015E-14</v>
      </c>
      <c r="GV126" s="18">
        <f>GU126*VLOOKUP('Données projet'!$B$18,Paramètres!$A$1:$I$89,3,0)*VLOOKUP('Données projet'!$B$18,Paramètres!$A$1:$I$89,5,0)</f>
        <v>4.4337866711430253E-14</v>
      </c>
      <c r="GW126" s="14">
        <f t="shared" si="105"/>
        <v>7.3222115536967035E-13</v>
      </c>
      <c r="GX126" s="22">
        <f t="shared" si="82"/>
        <v>1.3525069634579169E-12</v>
      </c>
      <c r="GY126" s="60">
        <f t="shared" si="83"/>
        <v>293.33333333333468</v>
      </c>
      <c r="GZ126" s="60">
        <f ca="1">AVERAGE(OFFSET($GY$3,0,0,'Données projet'!$E$18+1,1))-AVERAGE(OFFSET($H$3,0,0,'Données projet'!$E$18+1,1))</f>
        <v>289.19475369871481</v>
      </c>
      <c r="HA126" s="60">
        <f t="shared" si="106"/>
        <v>283.48738729114024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projet'!$B$18,Paramètres!$A$1:$I$89,3,0)*0.475*44/12</f>
        <v>0</v>
      </c>
      <c r="HH126" s="23">
        <f>EXP(-LN(2)/25)*HH125+(1-EXP(-LN(2)/25))/(LN(2)/25)*Calculateur!HC126*Calculateur!HE126*VLOOKUP('Données projet'!$B$18,Paramètres!$A$1:$I$89,3,0)*0.475*44/12</f>
        <v>0</v>
      </c>
      <c r="HI126" s="23">
        <f>EXP(-LN(2)/2)*HI125+(1-EXP(-LN(2)/2))/(LN(2)/2)*HC126*HF126*VLOOKUP('Données projet'!$B$18,Paramètres!$A$1:$I$89,3,0)*0.475*44/12</f>
        <v>0</v>
      </c>
      <c r="HJ126" s="24">
        <f t="shared" si="84"/>
        <v>0</v>
      </c>
    </row>
    <row r="127" spans="1:218" s="5" customFormat="1" x14ac:dyDescent="0.3">
      <c r="A127" s="11">
        <f t="shared" si="85"/>
        <v>124</v>
      </c>
      <c r="B127" s="75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8">
        <f t="shared" si="56"/>
        <v>256.66666666666669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3.4</v>
      </c>
      <c r="N127" s="14">
        <f>IF('Données projet'!$A$36&gt;35,N126+M127-V126,IF(A127&lt;'Données projet'!$A$36,$K$205^A127,IF(A127='Données projet'!$A$36,'Données projet'!$B$36,N126+M127-V126)))</f>
        <v>297.59999999999951</v>
      </c>
      <c r="O127" s="14">
        <f>N127*VLOOKUP('Données projet'!$B$9,Paramètres!$A$1:$I$89,3,0)*VLOOKUP('Données projet'!$B$9,Paramètres!$A$1:$I$89,5,0)</f>
        <v>287.83871999999951</v>
      </c>
      <c r="P127" s="14">
        <f t="shared" si="87"/>
        <v>68.620884395190174</v>
      </c>
      <c r="Q127" s="22">
        <f t="shared" si="107"/>
        <v>620.83381098828875</v>
      </c>
      <c r="R127" s="60">
        <f t="shared" si="55"/>
        <v>914.16714432162212</v>
      </c>
      <c r="S127" s="60">
        <f ca="1">AVERAGE(OFFSET($R$3,0,0,'Données projet'!$E$9+1,1))-AVERAGE(OFFSET($H$3,0,0,'Données projet'!$E$9+1,1))</f>
        <v>456.86147223520601</v>
      </c>
      <c r="T127" s="60">
        <f t="shared" si="88"/>
        <v>244.45149244446094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2.5579538487363607E-13</v>
      </c>
      <c r="AJ127" s="14">
        <f>AI127*VLOOKUP('Données projet'!$B$10,Paramètres!$A$1:$I$89,3,0)*VLOOKUP('Données projet'!$B$10,Paramètres!$A$1:$I$89,5,0)</f>
        <v>1.6759713616920635E-13</v>
      </c>
      <c r="AK127" s="14">
        <f t="shared" si="89"/>
        <v>2.3709043131075133E-12</v>
      </c>
      <c r="AL127" s="22">
        <f t="shared" si="58"/>
        <v>4.4212233574902864E-12</v>
      </c>
      <c r="AM127" s="60">
        <f t="shared" si="59"/>
        <v>293.33333333333775</v>
      </c>
      <c r="AN127" s="60">
        <f ca="1">AVERAGE(OFFSET($AM$3,0,0,'Données projet'!$E$10+1,1))-AVERAGE(OFFSET($H$3,0,0,'Données projet'!$E$10+1,1))</f>
        <v>170.79567854714986</v>
      </c>
      <c r="AO127" s="60">
        <f t="shared" si="90"/>
        <v>155.92788004111191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-1.1368683772161603E-13</v>
      </c>
      <c r="BE127" s="14">
        <f>BD127*VLOOKUP('Données projet'!$B$11,Paramètres!$A$1:$I$89,3,0)*VLOOKUP('Données projet'!$B$11,Paramètres!$A$1:$I$89,5,0)</f>
        <v>-9.2222762759774927E-14</v>
      </c>
      <c r="BF127" s="14" t="e">
        <f t="shared" si="91"/>
        <v>#NUM!</v>
      </c>
      <c r="BG127" s="22" t="e">
        <f t="shared" si="61"/>
        <v>#NUM!</v>
      </c>
      <c r="BH127" s="60" t="e">
        <f t="shared" si="62"/>
        <v>#NUM!</v>
      </c>
      <c r="BI127" s="60">
        <f ca="1">AVERAGE(OFFSET($BH$3,0,0,'Données projet'!$E$11+1,1))-AVERAGE(OFFSET($H$3,0,0,'Données projet'!$E$11+1,1))</f>
        <v>256.19915261735281</v>
      </c>
      <c r="BJ127" s="60">
        <f t="shared" si="92"/>
        <v>297.47246687305056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-5.6843418860808015E-14</v>
      </c>
      <c r="BZ127" s="14">
        <f>BY127*VLOOKUP('Données projet'!$B$12,Paramètres!$A$1:$I$89,3,0)*VLOOKUP('Données projet'!$B$12,Paramètres!$A$1:$I$89,5,0)</f>
        <v>-5.4092197387944907E-14</v>
      </c>
      <c r="CA127" s="14" t="e">
        <f t="shared" si="93"/>
        <v>#NUM!</v>
      </c>
      <c r="CB127" s="22" t="e">
        <f t="shared" si="64"/>
        <v>#NUM!</v>
      </c>
      <c r="CC127" s="60" t="e">
        <f t="shared" si="65"/>
        <v>#NUM!</v>
      </c>
      <c r="CD127" s="60">
        <f ca="1">AVERAGE(OFFSET($CC$3,0,0,'Données projet'!$E$12+1,1))-AVERAGE(OFFSET($H$3,0,0,'Données projet'!$E$12+1,1))</f>
        <v>353.53401919391234</v>
      </c>
      <c r="CE127" s="60">
        <f t="shared" si="94"/>
        <v>244.7141066773861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3.4</v>
      </c>
      <c r="CT127" s="13">
        <f>IF('Données projet'!$A$140&gt;35,CT126+CS127-DB126,IF(A127&lt;'Données projet'!$A$140,$CQ$205^A127,IF(A127='Données projet'!$A$140,'Données projet'!$B$140,CT126+CS127-DB126)))</f>
        <v>297.59999999999951</v>
      </c>
      <c r="CU127" s="18">
        <f>CT127*VLOOKUP('Données projet'!$B$13,Paramètres!$A$1:$I$89,3,0)*VLOOKUP('Données projet'!$B$13,Paramètres!$A$1:$I$89,5,0)</f>
        <v>250.69823999999963</v>
      </c>
      <c r="CV127" s="14">
        <f t="shared" si="95"/>
        <v>60.735434160476636</v>
      </c>
      <c r="CW127" s="22">
        <f t="shared" si="67"/>
        <v>542.41364916282942</v>
      </c>
      <c r="CX127" s="60">
        <f t="shared" si="68"/>
        <v>835.74698249616267</v>
      </c>
      <c r="CY127" s="60">
        <f ca="1">AVERAGE(OFFSET($CX$3,0,0,'Données projet'!$E$13+1,1))-AVERAGE(OFFSET($H$3,0,0,'Données projet'!$E$13+1,1))</f>
        <v>403.33327536410098</v>
      </c>
      <c r="CZ127" s="60">
        <f t="shared" si="96"/>
        <v>218.26721063098552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3.4106051316484809E-13</v>
      </c>
      <c r="DP127" s="18">
        <f>DO127*VLOOKUP('Données projet'!$B$14,Paramètres!$A$1:$I$89,3,0)*VLOOKUP('Données projet'!$B$14,Paramètres!$A$1:$I$89,5,0)</f>
        <v>2.7134774427395314E-13</v>
      </c>
      <c r="DQ127" s="14">
        <f t="shared" si="97"/>
        <v>3.6292411711343559E-12</v>
      </c>
      <c r="DR127" s="22">
        <f t="shared" si="70"/>
        <v>6.7935256943361388E-12</v>
      </c>
      <c r="DS127" s="60">
        <f t="shared" si="71"/>
        <v>293.33333333334014</v>
      </c>
      <c r="DT127" s="60">
        <f ca="1">AVERAGE(OFFSET($DS$3,0,0,'Données projet'!$E$14+1,1))-AVERAGE(OFFSET($H$3,0,0,'Données projet'!$E$14+1,1))</f>
        <v>317.13087551964747</v>
      </c>
      <c r="DU127" s="60">
        <f t="shared" si="98"/>
        <v>293.43300041793185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1.7053025658242404E-13</v>
      </c>
      <c r="EK127" s="18">
        <f>EJ127*VLOOKUP('Données projet'!$B$15,Paramètres!$A$1:$I$89,3,0)*VLOOKUP('Données projet'!$B$15,Paramètres!$A$1:$I$89,5,0)</f>
        <v>1.3567387213697657E-13</v>
      </c>
      <c r="EL127" s="14">
        <f t="shared" si="99"/>
        <v>1.9670967679808581E-12</v>
      </c>
      <c r="EM127" s="22">
        <f t="shared" si="73"/>
        <v>3.6623255315385623E-12</v>
      </c>
      <c r="EN127" s="60">
        <f t="shared" si="74"/>
        <v>293.33333333333695</v>
      </c>
      <c r="EO127" s="60">
        <f ca="1">AVERAGE(OFFSET($EN$3,0,0,'Données projet'!$E$15+1,1))-AVERAGE(OFFSET($H$3,0,0,'Données projet'!$E$15+1,1))</f>
        <v>253.03289960511904</v>
      </c>
      <c r="EP127" s="60">
        <f t="shared" si="100"/>
        <v>236.85088713056018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1.7053025658242404E-13</v>
      </c>
      <c r="FF127" s="18">
        <f>FE127*VLOOKUP('Données projet'!$B$16,Paramètres!$A$1:$I$89,3,0)*VLOOKUP('Données projet'!$B$16,Paramètres!$A$1:$I$89,5,0)</f>
        <v>1.4897523215040567E-13</v>
      </c>
      <c r="FG127" s="14">
        <f t="shared" si="101"/>
        <v>2.136562777003313E-12</v>
      </c>
      <c r="FH127" s="22">
        <f t="shared" si="76"/>
        <v>3.9806453659427267E-12</v>
      </c>
      <c r="FI127" s="60">
        <f t="shared" si="77"/>
        <v>293.33333333333729</v>
      </c>
      <c r="FJ127" s="60">
        <f ca="1">AVERAGE(OFFSET($FI$3,0,0,'Données projet'!$E$16+1,1))-AVERAGE(OFFSET($H$3,0,0,'Données projet'!$E$16+1,1))</f>
        <v>274.38315511766132</v>
      </c>
      <c r="FK127" s="60">
        <f t="shared" si="102"/>
        <v>255.96663040027175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-1.1368683772161603E-13</v>
      </c>
      <c r="GA127" s="18">
        <f>FZ127*VLOOKUP('Données projet'!$B$17,Paramètres!$A$1:$I$89,3,0)*VLOOKUP('Données projet'!$B$17,Paramètres!$A$1:$I$89,5,0)</f>
        <v>-9.7543306765146564E-14</v>
      </c>
      <c r="GB127" s="14" t="e">
        <f t="shared" si="103"/>
        <v>#NUM!</v>
      </c>
      <c r="GC127" s="22" t="e">
        <f t="shared" si="79"/>
        <v>#NUM!</v>
      </c>
      <c r="GD127" s="60" t="e">
        <f t="shared" si="80"/>
        <v>#NUM!</v>
      </c>
      <c r="GE127" s="60">
        <f ca="1">AVERAGE(OFFSET($GD$3,0,0,'Données projet'!$E$17+1,1))-AVERAGE(OFFSET($H$3,0,0,'Données projet'!$E$17+1,1))</f>
        <v>445.81166342116865</v>
      </c>
      <c r="GF127" s="60">
        <f t="shared" si="104"/>
        <v>230.82970731138215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5.6843418860808015E-14</v>
      </c>
      <c r="GV127" s="18">
        <f>GU127*VLOOKUP('Données projet'!$B$18,Paramètres!$A$1:$I$89,3,0)*VLOOKUP('Données projet'!$B$18,Paramètres!$A$1:$I$89,5,0)</f>
        <v>4.4337866711430253E-14</v>
      </c>
      <c r="GW127" s="14">
        <f t="shared" si="105"/>
        <v>7.3222115536967035E-13</v>
      </c>
      <c r="GX127" s="22">
        <f t="shared" si="82"/>
        <v>1.3525069634579169E-12</v>
      </c>
      <c r="GY127" s="60">
        <f t="shared" si="83"/>
        <v>293.33333333333468</v>
      </c>
      <c r="GZ127" s="60">
        <f ca="1">AVERAGE(OFFSET($GY$3,0,0,'Données projet'!$E$18+1,1))-AVERAGE(OFFSET($H$3,0,0,'Données projet'!$E$18+1,1))</f>
        <v>289.19475369871481</v>
      </c>
      <c r="HA127" s="60">
        <f t="shared" si="106"/>
        <v>283.48738729114024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projet'!$B$18,Paramètres!$A$1:$I$89,3,0)*0.475*44/12</f>
        <v>0</v>
      </c>
      <c r="HH127" s="23">
        <f>EXP(-LN(2)/25)*HH126+(1-EXP(-LN(2)/25))/(LN(2)/25)*Calculateur!HC127*Calculateur!HE127*VLOOKUP('Données projet'!$B$18,Paramètres!$A$1:$I$89,3,0)*0.475*44/12</f>
        <v>0</v>
      </c>
      <c r="HI127" s="23">
        <f>EXP(-LN(2)/2)*HI126+(1-EXP(-LN(2)/2))/(LN(2)/2)*HC127*HF127*VLOOKUP('Données projet'!$B$18,Paramètres!$A$1:$I$89,3,0)*0.475*44/12</f>
        <v>0</v>
      </c>
      <c r="HJ127" s="24">
        <f t="shared" si="84"/>
        <v>0</v>
      </c>
    </row>
    <row r="128" spans="1:218" s="5" customFormat="1" x14ac:dyDescent="0.3">
      <c r="A128" s="11">
        <f t="shared" si="85"/>
        <v>125</v>
      </c>
      <c r="B128" s="75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8">
        <f t="shared" si="56"/>
        <v>256.66666666666669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301</v>
      </c>
      <c r="L128" s="13">
        <f>VLOOKUP(A128,'Données projet'!$A$35:$I$55,9,0)</f>
        <v>3.4</v>
      </c>
      <c r="M128" s="13">
        <f t="array" ref="M128">INDEX(L:L,MIN(IF(ISNUMBER(L128:L324),ROW(L128:L324),"")))</f>
        <v>3.4</v>
      </c>
      <c r="N128" s="14">
        <f>IF('Données projet'!$A$36&gt;35,N127+M128-V127,IF(A128&lt;'Données projet'!$A$36,$K$205^A128,IF(A128='Données projet'!$A$36,'Données projet'!$B$36,N127+M128-V127)))</f>
        <v>300.99999999999949</v>
      </c>
      <c r="O128" s="14">
        <f>N128*VLOOKUP('Données projet'!$B$9,Paramètres!$A$1:$I$89,3,0)*VLOOKUP('Données projet'!$B$9,Paramètres!$A$1:$I$89,5,0)</f>
        <v>291.1271999999995</v>
      </c>
      <c r="P128" s="14">
        <f t="shared" si="87"/>
        <v>69.313146187847238</v>
      </c>
      <c r="Q128" s="22">
        <f t="shared" si="107"/>
        <v>627.76693627716634</v>
      </c>
      <c r="R128" s="60">
        <f t="shared" si="55"/>
        <v>921.10026961049971</v>
      </c>
      <c r="S128" s="60">
        <f ca="1">AVERAGE(OFFSET($R$3,0,0,'Données projet'!$E$9+1,1))-AVERAGE(OFFSET($H$3,0,0,'Données projet'!$E$9+1,1))</f>
        <v>456.86147223520601</v>
      </c>
      <c r="T128" s="60">
        <f t="shared" si="88"/>
        <v>244.45149244446094</v>
      </c>
      <c r="U128" s="16">
        <f>IF(ISNA(VLOOKUP(A128,'Données projet'!$A$35:$I$55,3,0)),0,VLOOKUP(A128,'Données projet'!$A$35:$I$55,3,0))</f>
        <v>11</v>
      </c>
      <c r="V128" s="16">
        <f>IF(ISNA(VLOOKUP(A128,'Données projet'!$A$35:$I$55,4,0)),0,VLOOKUP(A128,'Données projet'!$A$35:$I$55,4,0))</f>
        <v>33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2.5579538487363607E-13</v>
      </c>
      <c r="AJ128" s="14">
        <f>AI128*VLOOKUP('Données projet'!$B$10,Paramètres!$A$1:$I$89,3,0)*VLOOKUP('Données projet'!$B$10,Paramètres!$A$1:$I$89,5,0)</f>
        <v>1.6759713616920635E-13</v>
      </c>
      <c r="AK128" s="14">
        <f t="shared" si="89"/>
        <v>2.3709043131075133E-12</v>
      </c>
      <c r="AL128" s="22">
        <f t="shared" si="58"/>
        <v>4.4212233574902864E-12</v>
      </c>
      <c r="AM128" s="60">
        <f t="shared" si="59"/>
        <v>293.33333333333775</v>
      </c>
      <c r="AN128" s="60">
        <f ca="1">AVERAGE(OFFSET($AM$3,0,0,'Données projet'!$E$10+1,1))-AVERAGE(OFFSET($H$3,0,0,'Données projet'!$E$10+1,1))</f>
        <v>170.79567854714986</v>
      </c>
      <c r="AO128" s="60">
        <f t="shared" si="90"/>
        <v>155.92788004111191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-1.1368683772161603E-13</v>
      </c>
      <c r="BE128" s="14">
        <f>BD128*VLOOKUP('Données projet'!$B$11,Paramètres!$A$1:$I$89,3,0)*VLOOKUP('Données projet'!$B$11,Paramètres!$A$1:$I$89,5,0)</f>
        <v>-9.2222762759774927E-14</v>
      </c>
      <c r="BF128" s="14" t="e">
        <f t="shared" si="91"/>
        <v>#NUM!</v>
      </c>
      <c r="BG128" s="22" t="e">
        <f t="shared" si="61"/>
        <v>#NUM!</v>
      </c>
      <c r="BH128" s="60" t="e">
        <f t="shared" si="62"/>
        <v>#NUM!</v>
      </c>
      <c r="BI128" s="60">
        <f ca="1">AVERAGE(OFFSET($BH$3,0,0,'Données projet'!$E$11+1,1))-AVERAGE(OFFSET($H$3,0,0,'Données projet'!$E$11+1,1))</f>
        <v>256.19915261735281</v>
      </c>
      <c r="BJ128" s="60">
        <f t="shared" si="92"/>
        <v>297.47246687305056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-5.6843418860808015E-14</v>
      </c>
      <c r="BZ128" s="14">
        <f>BY128*VLOOKUP('Données projet'!$B$12,Paramètres!$A$1:$I$89,3,0)*VLOOKUP('Données projet'!$B$12,Paramètres!$A$1:$I$89,5,0)</f>
        <v>-5.4092197387944907E-14</v>
      </c>
      <c r="CA128" s="14" t="e">
        <f t="shared" si="93"/>
        <v>#NUM!</v>
      </c>
      <c r="CB128" s="22" t="e">
        <f t="shared" si="64"/>
        <v>#NUM!</v>
      </c>
      <c r="CC128" s="60" t="e">
        <f t="shared" si="65"/>
        <v>#NUM!</v>
      </c>
      <c r="CD128" s="60">
        <f ca="1">AVERAGE(OFFSET($CC$3,0,0,'Données projet'!$E$12+1,1))-AVERAGE(OFFSET($H$3,0,0,'Données projet'!$E$12+1,1))</f>
        <v>353.53401919391234</v>
      </c>
      <c r="CE128" s="60">
        <f t="shared" si="94"/>
        <v>244.7141066773861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>
        <f>VLOOKUP(A128,'Données projet'!$A$139:$I$159,2,0)</f>
        <v>301</v>
      </c>
      <c r="CR128" s="13">
        <f>VLOOKUP(A128,'Données projet'!$A$139:$I$159,9,0)</f>
        <v>3.4</v>
      </c>
      <c r="CS128" s="13">
        <f t="array" ref="CS128">INDEX(CR:CR,MIN(IF(ISNUMBER(CR128:CR324),ROW(CR128:CR324),"")))</f>
        <v>3.4</v>
      </c>
      <c r="CT128" s="13">
        <f>IF('Données projet'!$A$140&gt;35,CT127+CS128-DB127,IF(A128&lt;'Données projet'!$A$140,$CQ$205^A128,IF(A128='Données projet'!$A$140,'Données projet'!$B$140,CT127+CS128-DB127)))</f>
        <v>300.99999999999949</v>
      </c>
      <c r="CU128" s="18">
        <f>CT128*VLOOKUP('Données projet'!$B$13,Paramètres!$A$1:$I$89,3,0)*VLOOKUP('Données projet'!$B$13,Paramètres!$A$1:$I$89,5,0)</f>
        <v>253.5623999999996</v>
      </c>
      <c r="CV128" s="14">
        <f t="shared" si="95"/>
        <v>61.348145886656127</v>
      </c>
      <c r="CW128" s="22">
        <f t="shared" si="67"/>
        <v>548.46920075259197</v>
      </c>
      <c r="CX128" s="60">
        <f t="shared" si="68"/>
        <v>841.80253408592534</v>
      </c>
      <c r="CY128" s="60">
        <f ca="1">AVERAGE(OFFSET($CX$3,0,0,'Données projet'!$E$13+1,1))-AVERAGE(OFFSET($H$3,0,0,'Données projet'!$E$13+1,1))</f>
        <v>403.33327536410098</v>
      </c>
      <c r="CZ128" s="60">
        <f t="shared" si="96"/>
        <v>218.26721063098552</v>
      </c>
      <c r="DA128" s="16">
        <f>IF(ISNA(VLOOKUP(A128,'Données projet'!$A$139:$I$159,3,0)),0,VLOOKUP(A128,'Données projet'!$A$139:$I$159,3,0))</f>
        <v>11</v>
      </c>
      <c r="DB128" s="16">
        <f>IF(ISNA(VLOOKUP(A128,'Données projet'!$A$139:$I$159,4,0)),0,VLOOKUP(A128,'Données projet'!$A$139:$I$159,4,0))</f>
        <v>33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3.4106051316484809E-13</v>
      </c>
      <c r="DP128" s="18">
        <f>DO128*VLOOKUP('Données projet'!$B$14,Paramètres!$A$1:$I$89,3,0)*VLOOKUP('Données projet'!$B$14,Paramètres!$A$1:$I$89,5,0)</f>
        <v>2.7134774427395314E-13</v>
      </c>
      <c r="DQ128" s="14">
        <f t="shared" si="97"/>
        <v>3.6292411711343559E-12</v>
      </c>
      <c r="DR128" s="22">
        <f t="shared" si="70"/>
        <v>6.7935256943361388E-12</v>
      </c>
      <c r="DS128" s="60">
        <f t="shared" si="71"/>
        <v>293.33333333334014</v>
      </c>
      <c r="DT128" s="60">
        <f ca="1">AVERAGE(OFFSET($DS$3,0,0,'Données projet'!$E$14+1,1))-AVERAGE(OFFSET($H$3,0,0,'Données projet'!$E$14+1,1))</f>
        <v>317.13087551964747</v>
      </c>
      <c r="DU128" s="60">
        <f t="shared" si="98"/>
        <v>293.43300041793185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1.7053025658242404E-13</v>
      </c>
      <c r="EK128" s="18">
        <f>EJ128*VLOOKUP('Données projet'!$B$15,Paramètres!$A$1:$I$89,3,0)*VLOOKUP('Données projet'!$B$15,Paramètres!$A$1:$I$89,5,0)</f>
        <v>1.3567387213697657E-13</v>
      </c>
      <c r="EL128" s="14">
        <f t="shared" si="99"/>
        <v>1.9670967679808581E-12</v>
      </c>
      <c r="EM128" s="22">
        <f t="shared" si="73"/>
        <v>3.6623255315385623E-12</v>
      </c>
      <c r="EN128" s="60">
        <f t="shared" si="74"/>
        <v>293.33333333333695</v>
      </c>
      <c r="EO128" s="60">
        <f ca="1">AVERAGE(OFFSET($EN$3,0,0,'Données projet'!$E$15+1,1))-AVERAGE(OFFSET($H$3,0,0,'Données projet'!$E$15+1,1))</f>
        <v>253.03289960511904</v>
      </c>
      <c r="EP128" s="60">
        <f t="shared" si="100"/>
        <v>236.85088713056018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1.7053025658242404E-13</v>
      </c>
      <c r="FF128" s="18">
        <f>FE128*VLOOKUP('Données projet'!$B$16,Paramètres!$A$1:$I$89,3,0)*VLOOKUP('Données projet'!$B$16,Paramètres!$A$1:$I$89,5,0)</f>
        <v>1.4897523215040567E-13</v>
      </c>
      <c r="FG128" s="14">
        <f t="shared" si="101"/>
        <v>2.136562777003313E-12</v>
      </c>
      <c r="FH128" s="22">
        <f t="shared" si="76"/>
        <v>3.9806453659427267E-12</v>
      </c>
      <c r="FI128" s="60">
        <f t="shared" si="77"/>
        <v>293.33333333333729</v>
      </c>
      <c r="FJ128" s="60">
        <f ca="1">AVERAGE(OFFSET($FI$3,0,0,'Données projet'!$E$16+1,1))-AVERAGE(OFFSET($H$3,0,0,'Données projet'!$E$16+1,1))</f>
        <v>274.38315511766132</v>
      </c>
      <c r="FK128" s="60">
        <f t="shared" si="102"/>
        <v>255.96663040027175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-1.1368683772161603E-13</v>
      </c>
      <c r="GA128" s="18">
        <f>FZ128*VLOOKUP('Données projet'!$B$17,Paramètres!$A$1:$I$89,3,0)*VLOOKUP('Données projet'!$B$17,Paramètres!$A$1:$I$89,5,0)</f>
        <v>-9.7543306765146564E-14</v>
      </c>
      <c r="GB128" s="14" t="e">
        <f t="shared" si="103"/>
        <v>#NUM!</v>
      </c>
      <c r="GC128" s="22" t="e">
        <f t="shared" si="79"/>
        <v>#NUM!</v>
      </c>
      <c r="GD128" s="60" t="e">
        <f t="shared" si="80"/>
        <v>#NUM!</v>
      </c>
      <c r="GE128" s="60">
        <f ca="1">AVERAGE(OFFSET($GD$3,0,0,'Données projet'!$E$17+1,1))-AVERAGE(OFFSET($H$3,0,0,'Données projet'!$E$17+1,1))</f>
        <v>445.81166342116865</v>
      </c>
      <c r="GF128" s="60">
        <f t="shared" si="104"/>
        <v>230.82970731138215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5.6843418860808015E-14</v>
      </c>
      <c r="GV128" s="18">
        <f>GU128*VLOOKUP('Données projet'!$B$18,Paramètres!$A$1:$I$89,3,0)*VLOOKUP('Données projet'!$B$18,Paramètres!$A$1:$I$89,5,0)</f>
        <v>4.4337866711430253E-14</v>
      </c>
      <c r="GW128" s="14">
        <f t="shared" si="105"/>
        <v>7.3222115536967035E-13</v>
      </c>
      <c r="GX128" s="22">
        <f t="shared" si="82"/>
        <v>1.3525069634579169E-12</v>
      </c>
      <c r="GY128" s="60">
        <f t="shared" si="83"/>
        <v>293.33333333333468</v>
      </c>
      <c r="GZ128" s="60">
        <f ca="1">AVERAGE(OFFSET($GY$3,0,0,'Données projet'!$E$18+1,1))-AVERAGE(OFFSET($H$3,0,0,'Données projet'!$E$18+1,1))</f>
        <v>289.19475369871481</v>
      </c>
      <c r="HA128" s="60">
        <f t="shared" si="106"/>
        <v>283.48738729114024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projet'!$B$18,Paramètres!$A$1:$I$89,3,0)*0.475*44/12</f>
        <v>0</v>
      </c>
      <c r="HH128" s="23">
        <f>EXP(-LN(2)/25)*HH127+(1-EXP(-LN(2)/25))/(LN(2)/25)*Calculateur!HC128*Calculateur!HE128*VLOOKUP('Données projet'!$B$18,Paramètres!$A$1:$I$89,3,0)*0.475*44/12</f>
        <v>0</v>
      </c>
      <c r="HI128" s="23">
        <f>EXP(-LN(2)/2)*HI127+(1-EXP(-LN(2)/2))/(LN(2)/2)*HC128*HF128*VLOOKUP('Données projet'!$B$18,Paramètres!$A$1:$I$89,3,0)*0.475*44/12</f>
        <v>0</v>
      </c>
      <c r="HJ128" s="24">
        <f t="shared" si="84"/>
        <v>0</v>
      </c>
    </row>
    <row r="129" spans="1:218" s="5" customFormat="1" x14ac:dyDescent="0.3">
      <c r="A129" s="11">
        <f t="shared" si="85"/>
        <v>126</v>
      </c>
      <c r="B129" s="75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8">
        <f t="shared" si="56"/>
        <v>256.66666666666669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</v>
      </c>
      <c r="N129" s="14">
        <f>IF('Données projet'!$A$36&gt;35,N128+M129-V128,IF(A129&lt;'Données projet'!$A$36,$K$205^A129,IF(A129='Données projet'!$A$36,'Données projet'!$B$36,N128+M129-V128)))</f>
        <v>270.99999999999949</v>
      </c>
      <c r="O129" s="14">
        <f>N129*VLOOKUP('Données projet'!$B$9,Paramètres!$A$1:$I$89,3,0)*VLOOKUP('Données projet'!$B$9,Paramètres!$A$1:$I$89,5,0)</f>
        <v>262.11119999999949</v>
      </c>
      <c r="P129" s="14">
        <f t="shared" si="87"/>
        <v>63.172188447086931</v>
      </c>
      <c r="Q129" s="22">
        <f t="shared" si="107"/>
        <v>566.53523487867551</v>
      </c>
      <c r="R129" s="60">
        <f t="shared" si="55"/>
        <v>859.86856821200877</v>
      </c>
      <c r="S129" s="60">
        <f ca="1">AVERAGE(OFFSET($R$3,0,0,'Données projet'!$E$9+1,1))-AVERAGE(OFFSET($H$3,0,0,'Données projet'!$E$9+1,1))</f>
        <v>456.86147223520601</v>
      </c>
      <c r="T129" s="60">
        <f t="shared" si="88"/>
        <v>244.45149244446094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2.5579538487363607E-13</v>
      </c>
      <c r="AJ129" s="14">
        <f>AI129*VLOOKUP('Données projet'!$B$10,Paramètres!$A$1:$I$89,3,0)*VLOOKUP('Données projet'!$B$10,Paramètres!$A$1:$I$89,5,0)</f>
        <v>1.6759713616920635E-13</v>
      </c>
      <c r="AK129" s="14">
        <f t="shared" si="89"/>
        <v>2.3709043131075133E-12</v>
      </c>
      <c r="AL129" s="22">
        <f t="shared" si="58"/>
        <v>4.4212233574902864E-12</v>
      </c>
      <c r="AM129" s="60">
        <f t="shared" si="59"/>
        <v>293.33333333333775</v>
      </c>
      <c r="AN129" s="60">
        <f ca="1">AVERAGE(OFFSET($AM$3,0,0,'Données projet'!$E$10+1,1))-AVERAGE(OFFSET($H$3,0,0,'Données projet'!$E$10+1,1))</f>
        <v>170.79567854714986</v>
      </c>
      <c r="AO129" s="60">
        <f t="shared" si="90"/>
        <v>155.92788004111191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-1.1368683772161603E-13</v>
      </c>
      <c r="BE129" s="14">
        <f>BD129*VLOOKUP('Données projet'!$B$11,Paramètres!$A$1:$I$89,3,0)*VLOOKUP('Données projet'!$B$11,Paramètres!$A$1:$I$89,5,0)</f>
        <v>-9.2222762759774927E-14</v>
      </c>
      <c r="BF129" s="14" t="e">
        <f t="shared" si="91"/>
        <v>#NUM!</v>
      </c>
      <c r="BG129" s="22" t="e">
        <f t="shared" si="61"/>
        <v>#NUM!</v>
      </c>
      <c r="BH129" s="60" t="e">
        <f t="shared" si="62"/>
        <v>#NUM!</v>
      </c>
      <c r="BI129" s="60">
        <f ca="1">AVERAGE(OFFSET($BH$3,0,0,'Données projet'!$E$11+1,1))-AVERAGE(OFFSET($H$3,0,0,'Données projet'!$E$11+1,1))</f>
        <v>256.19915261735281</v>
      </c>
      <c r="BJ129" s="60">
        <f t="shared" si="92"/>
        <v>297.47246687305056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-5.6843418860808015E-14</v>
      </c>
      <c r="BZ129" s="14">
        <f>BY129*VLOOKUP('Données projet'!$B$12,Paramètres!$A$1:$I$89,3,0)*VLOOKUP('Données projet'!$B$12,Paramètres!$A$1:$I$89,5,0)</f>
        <v>-5.4092197387944907E-14</v>
      </c>
      <c r="CA129" s="14" t="e">
        <f t="shared" si="93"/>
        <v>#NUM!</v>
      </c>
      <c r="CB129" s="22" t="e">
        <f t="shared" si="64"/>
        <v>#NUM!</v>
      </c>
      <c r="CC129" s="60" t="e">
        <f t="shared" si="65"/>
        <v>#NUM!</v>
      </c>
      <c r="CD129" s="60">
        <f ca="1">AVERAGE(OFFSET($CC$3,0,0,'Données projet'!$E$12+1,1))-AVERAGE(OFFSET($H$3,0,0,'Données projet'!$E$12+1,1))</f>
        <v>353.53401919391234</v>
      </c>
      <c r="CE129" s="60">
        <f t="shared" si="94"/>
        <v>244.7141066773861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3</v>
      </c>
      <c r="CT129" s="13">
        <f>IF('Données projet'!$A$140&gt;35,CT128+CS129-DB128,IF(A129&lt;'Données projet'!$A$140,$CQ$205^A129,IF(A129='Données projet'!$A$140,'Données projet'!$B$140,CT128+CS129-DB128)))</f>
        <v>270.99999999999949</v>
      </c>
      <c r="CU129" s="18">
        <f>CT129*VLOOKUP('Données projet'!$B$13,Paramètres!$A$1:$I$89,3,0)*VLOOKUP('Données projet'!$B$13,Paramètres!$A$1:$I$89,5,0)</f>
        <v>228.29039999999958</v>
      </c>
      <c r="CV129" s="14">
        <f t="shared" si="95"/>
        <v>55.912865682480266</v>
      </c>
      <c r="CW129" s="22">
        <f t="shared" si="67"/>
        <v>494.98735439698572</v>
      </c>
      <c r="CX129" s="60">
        <f t="shared" si="68"/>
        <v>788.32068773031904</v>
      </c>
      <c r="CY129" s="60">
        <f ca="1">AVERAGE(OFFSET($CX$3,0,0,'Données projet'!$E$13+1,1))-AVERAGE(OFFSET($H$3,0,0,'Données projet'!$E$13+1,1))</f>
        <v>403.33327536410098</v>
      </c>
      <c r="CZ129" s="60">
        <f t="shared" si="96"/>
        <v>218.26721063098552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3.4106051316484809E-13</v>
      </c>
      <c r="DP129" s="18">
        <f>DO129*VLOOKUP('Données projet'!$B$14,Paramètres!$A$1:$I$89,3,0)*VLOOKUP('Données projet'!$B$14,Paramètres!$A$1:$I$89,5,0)</f>
        <v>2.7134774427395314E-13</v>
      </c>
      <c r="DQ129" s="14">
        <f t="shared" si="97"/>
        <v>3.6292411711343559E-12</v>
      </c>
      <c r="DR129" s="22">
        <f t="shared" si="70"/>
        <v>6.7935256943361388E-12</v>
      </c>
      <c r="DS129" s="60">
        <f t="shared" si="71"/>
        <v>293.33333333334014</v>
      </c>
      <c r="DT129" s="60">
        <f ca="1">AVERAGE(OFFSET($DS$3,0,0,'Données projet'!$E$14+1,1))-AVERAGE(OFFSET($H$3,0,0,'Données projet'!$E$14+1,1))</f>
        <v>317.13087551964747</v>
      </c>
      <c r="DU129" s="60">
        <f t="shared" si="98"/>
        <v>293.43300041793185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1.7053025658242404E-13</v>
      </c>
      <c r="EK129" s="18">
        <f>EJ129*VLOOKUP('Données projet'!$B$15,Paramètres!$A$1:$I$89,3,0)*VLOOKUP('Données projet'!$B$15,Paramètres!$A$1:$I$89,5,0)</f>
        <v>1.3567387213697657E-13</v>
      </c>
      <c r="EL129" s="14">
        <f t="shared" si="99"/>
        <v>1.9670967679808581E-12</v>
      </c>
      <c r="EM129" s="22">
        <f t="shared" si="73"/>
        <v>3.6623255315385623E-12</v>
      </c>
      <c r="EN129" s="60">
        <f t="shared" si="74"/>
        <v>293.33333333333695</v>
      </c>
      <c r="EO129" s="60">
        <f ca="1">AVERAGE(OFFSET($EN$3,0,0,'Données projet'!$E$15+1,1))-AVERAGE(OFFSET($H$3,0,0,'Données projet'!$E$15+1,1))</f>
        <v>253.03289960511904</v>
      </c>
      <c r="EP129" s="60">
        <f t="shared" si="100"/>
        <v>236.85088713056018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1.7053025658242404E-13</v>
      </c>
      <c r="FF129" s="18">
        <f>FE129*VLOOKUP('Données projet'!$B$16,Paramètres!$A$1:$I$89,3,0)*VLOOKUP('Données projet'!$B$16,Paramètres!$A$1:$I$89,5,0)</f>
        <v>1.4897523215040567E-13</v>
      </c>
      <c r="FG129" s="14">
        <f t="shared" si="101"/>
        <v>2.136562777003313E-12</v>
      </c>
      <c r="FH129" s="22">
        <f t="shared" si="76"/>
        <v>3.9806453659427267E-12</v>
      </c>
      <c r="FI129" s="60">
        <f t="shared" si="77"/>
        <v>293.33333333333729</v>
      </c>
      <c r="FJ129" s="60">
        <f ca="1">AVERAGE(OFFSET($FI$3,0,0,'Données projet'!$E$16+1,1))-AVERAGE(OFFSET($H$3,0,0,'Données projet'!$E$16+1,1))</f>
        <v>274.38315511766132</v>
      </c>
      <c r="FK129" s="60">
        <f t="shared" si="102"/>
        <v>255.96663040027175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-1.1368683772161603E-13</v>
      </c>
      <c r="GA129" s="18">
        <f>FZ129*VLOOKUP('Données projet'!$B$17,Paramètres!$A$1:$I$89,3,0)*VLOOKUP('Données projet'!$B$17,Paramètres!$A$1:$I$89,5,0)</f>
        <v>-9.7543306765146564E-14</v>
      </c>
      <c r="GB129" s="14" t="e">
        <f t="shared" si="103"/>
        <v>#NUM!</v>
      </c>
      <c r="GC129" s="22" t="e">
        <f t="shared" si="79"/>
        <v>#NUM!</v>
      </c>
      <c r="GD129" s="60" t="e">
        <f t="shared" si="80"/>
        <v>#NUM!</v>
      </c>
      <c r="GE129" s="60">
        <f ca="1">AVERAGE(OFFSET($GD$3,0,0,'Données projet'!$E$17+1,1))-AVERAGE(OFFSET($H$3,0,0,'Données projet'!$E$17+1,1))</f>
        <v>445.81166342116865</v>
      </c>
      <c r="GF129" s="60">
        <f t="shared" si="104"/>
        <v>230.82970731138215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5.6843418860808015E-14</v>
      </c>
      <c r="GV129" s="18">
        <f>GU129*VLOOKUP('Données projet'!$B$18,Paramètres!$A$1:$I$89,3,0)*VLOOKUP('Données projet'!$B$18,Paramètres!$A$1:$I$89,5,0)</f>
        <v>4.4337866711430253E-14</v>
      </c>
      <c r="GW129" s="14">
        <f t="shared" si="105"/>
        <v>7.3222115536967035E-13</v>
      </c>
      <c r="GX129" s="22">
        <f t="shared" si="82"/>
        <v>1.3525069634579169E-12</v>
      </c>
      <c r="GY129" s="60">
        <f t="shared" si="83"/>
        <v>293.33333333333468</v>
      </c>
      <c r="GZ129" s="60">
        <f ca="1">AVERAGE(OFFSET($GY$3,0,0,'Données projet'!$E$18+1,1))-AVERAGE(OFFSET($H$3,0,0,'Données projet'!$E$18+1,1))</f>
        <v>289.19475369871481</v>
      </c>
      <c r="HA129" s="60">
        <f t="shared" si="106"/>
        <v>283.48738729114024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projet'!$B$18,Paramètres!$A$1:$I$89,3,0)*0.475*44/12</f>
        <v>0</v>
      </c>
      <c r="HH129" s="23">
        <f>EXP(-LN(2)/25)*HH128+(1-EXP(-LN(2)/25))/(LN(2)/25)*Calculateur!HC129*Calculateur!HE129*VLOOKUP('Données projet'!$B$18,Paramètres!$A$1:$I$89,3,0)*0.475*44/12</f>
        <v>0</v>
      </c>
      <c r="HI129" s="23">
        <f>EXP(-LN(2)/2)*HI128+(1-EXP(-LN(2)/2))/(LN(2)/2)*HC129*HF129*VLOOKUP('Données projet'!$B$18,Paramètres!$A$1:$I$89,3,0)*0.475*44/12</f>
        <v>0</v>
      </c>
      <c r="HJ129" s="24">
        <f t="shared" si="84"/>
        <v>0</v>
      </c>
    </row>
    <row r="130" spans="1:218" s="5" customFormat="1" x14ac:dyDescent="0.3">
      <c r="A130" s="11">
        <f t="shared" si="85"/>
        <v>127</v>
      </c>
      <c r="B130" s="75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8">
        <f t="shared" si="56"/>
        <v>256.66666666666669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</v>
      </c>
      <c r="N130" s="14">
        <f>IF('Données projet'!$A$36&gt;35,N129+M130-V129,IF(A130&lt;'Données projet'!$A$36,$K$205^A130,IF(A130='Données projet'!$A$36,'Données projet'!$B$36,N129+M130-V129)))</f>
        <v>273.99999999999949</v>
      </c>
      <c r="O130" s="14">
        <f>N130*VLOOKUP('Données projet'!$B$9,Paramètres!$A$1:$I$89,3,0)*VLOOKUP('Données projet'!$B$9,Paramètres!$A$1:$I$89,5,0)</f>
        <v>265.01279999999952</v>
      </c>
      <c r="P130" s="14">
        <f t="shared" si="87"/>
        <v>63.789713870852616</v>
      </c>
      <c r="Q130" s="22">
        <f t="shared" si="107"/>
        <v>572.66437832506745</v>
      </c>
      <c r="R130" s="60">
        <f t="shared" si="55"/>
        <v>865.9977116584007</v>
      </c>
      <c r="S130" s="60">
        <f ca="1">AVERAGE(OFFSET($R$3,0,0,'Données projet'!$E$9+1,1))-AVERAGE(OFFSET($H$3,0,0,'Données projet'!$E$9+1,1))</f>
        <v>456.86147223520601</v>
      </c>
      <c r="T130" s="60">
        <f t="shared" si="88"/>
        <v>244.45149244446094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2.5579538487363607E-13</v>
      </c>
      <c r="AJ130" s="14">
        <f>AI130*VLOOKUP('Données projet'!$B$10,Paramètres!$A$1:$I$89,3,0)*VLOOKUP('Données projet'!$B$10,Paramètres!$A$1:$I$89,5,0)</f>
        <v>1.6759713616920635E-13</v>
      </c>
      <c r="AK130" s="14">
        <f t="shared" si="89"/>
        <v>2.3709043131075133E-12</v>
      </c>
      <c r="AL130" s="22">
        <f t="shared" si="58"/>
        <v>4.4212233574902864E-12</v>
      </c>
      <c r="AM130" s="60">
        <f t="shared" si="59"/>
        <v>293.33333333333775</v>
      </c>
      <c r="AN130" s="60">
        <f ca="1">AVERAGE(OFFSET($AM$3,0,0,'Données projet'!$E$10+1,1))-AVERAGE(OFFSET($H$3,0,0,'Données projet'!$E$10+1,1))</f>
        <v>170.79567854714986</v>
      </c>
      <c r="AO130" s="60">
        <f t="shared" si="90"/>
        <v>155.92788004111191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-1.1368683772161603E-13</v>
      </c>
      <c r="BE130" s="14">
        <f>BD130*VLOOKUP('Données projet'!$B$11,Paramètres!$A$1:$I$89,3,0)*VLOOKUP('Données projet'!$B$11,Paramètres!$A$1:$I$89,5,0)</f>
        <v>-9.2222762759774927E-14</v>
      </c>
      <c r="BF130" s="14" t="e">
        <f t="shared" si="91"/>
        <v>#NUM!</v>
      </c>
      <c r="BG130" s="22" t="e">
        <f t="shared" si="61"/>
        <v>#NUM!</v>
      </c>
      <c r="BH130" s="60" t="e">
        <f t="shared" si="62"/>
        <v>#NUM!</v>
      </c>
      <c r="BI130" s="60">
        <f ca="1">AVERAGE(OFFSET($BH$3,0,0,'Données projet'!$E$11+1,1))-AVERAGE(OFFSET($H$3,0,0,'Données projet'!$E$11+1,1))</f>
        <v>256.19915261735281</v>
      </c>
      <c r="BJ130" s="60">
        <f t="shared" si="92"/>
        <v>297.47246687305056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-5.6843418860808015E-14</v>
      </c>
      <c r="BZ130" s="14">
        <f>BY130*VLOOKUP('Données projet'!$B$12,Paramètres!$A$1:$I$89,3,0)*VLOOKUP('Données projet'!$B$12,Paramètres!$A$1:$I$89,5,0)</f>
        <v>-5.4092197387944907E-14</v>
      </c>
      <c r="CA130" s="14" t="e">
        <f t="shared" si="93"/>
        <v>#NUM!</v>
      </c>
      <c r="CB130" s="22" t="e">
        <f t="shared" si="64"/>
        <v>#NUM!</v>
      </c>
      <c r="CC130" s="60" t="e">
        <f t="shared" si="65"/>
        <v>#NUM!</v>
      </c>
      <c r="CD130" s="60">
        <f ca="1">AVERAGE(OFFSET($CC$3,0,0,'Données projet'!$E$12+1,1))-AVERAGE(OFFSET($H$3,0,0,'Données projet'!$E$12+1,1))</f>
        <v>353.53401919391234</v>
      </c>
      <c r="CE130" s="60">
        <f t="shared" si="94"/>
        <v>244.7141066773861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3</v>
      </c>
      <c r="CT130" s="13">
        <f>IF('Données projet'!$A$140&gt;35,CT129+CS130-DB129,IF(A130&lt;'Données projet'!$A$140,$CQ$205^A130,IF(A130='Données projet'!$A$140,'Données projet'!$B$140,CT129+CS130-DB129)))</f>
        <v>273.99999999999949</v>
      </c>
      <c r="CU130" s="18">
        <f>CT130*VLOOKUP('Données projet'!$B$13,Paramètres!$A$1:$I$89,3,0)*VLOOKUP('Données projet'!$B$13,Paramètres!$A$1:$I$89,5,0)</f>
        <v>230.81759999999957</v>
      </c>
      <c r="CV130" s="14">
        <f t="shared" si="95"/>
        <v>56.45942924032579</v>
      </c>
      <c r="CW130" s="22">
        <f t="shared" si="67"/>
        <v>500.34082592689998</v>
      </c>
      <c r="CX130" s="60">
        <f t="shared" si="68"/>
        <v>793.6741592602333</v>
      </c>
      <c r="CY130" s="60">
        <f ca="1">AVERAGE(OFFSET($CX$3,0,0,'Données projet'!$E$13+1,1))-AVERAGE(OFFSET($H$3,0,0,'Données projet'!$E$13+1,1))</f>
        <v>403.33327536410098</v>
      </c>
      <c r="CZ130" s="60">
        <f t="shared" si="96"/>
        <v>218.26721063098552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3.4106051316484809E-13</v>
      </c>
      <c r="DP130" s="18">
        <f>DO130*VLOOKUP('Données projet'!$B$14,Paramètres!$A$1:$I$89,3,0)*VLOOKUP('Données projet'!$B$14,Paramètres!$A$1:$I$89,5,0)</f>
        <v>2.7134774427395314E-13</v>
      </c>
      <c r="DQ130" s="14">
        <f t="shared" si="97"/>
        <v>3.6292411711343559E-12</v>
      </c>
      <c r="DR130" s="22">
        <f t="shared" si="70"/>
        <v>6.7935256943361388E-12</v>
      </c>
      <c r="DS130" s="60">
        <f t="shared" si="71"/>
        <v>293.33333333334014</v>
      </c>
      <c r="DT130" s="60">
        <f ca="1">AVERAGE(OFFSET($DS$3,0,0,'Données projet'!$E$14+1,1))-AVERAGE(OFFSET($H$3,0,0,'Données projet'!$E$14+1,1))</f>
        <v>317.13087551964747</v>
      </c>
      <c r="DU130" s="60">
        <f t="shared" si="98"/>
        <v>293.43300041793185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1.7053025658242404E-13</v>
      </c>
      <c r="EK130" s="18">
        <f>EJ130*VLOOKUP('Données projet'!$B$15,Paramètres!$A$1:$I$89,3,0)*VLOOKUP('Données projet'!$B$15,Paramètres!$A$1:$I$89,5,0)</f>
        <v>1.3567387213697657E-13</v>
      </c>
      <c r="EL130" s="14">
        <f t="shared" si="99"/>
        <v>1.9670967679808581E-12</v>
      </c>
      <c r="EM130" s="22">
        <f t="shared" si="73"/>
        <v>3.6623255315385623E-12</v>
      </c>
      <c r="EN130" s="60">
        <f t="shared" si="74"/>
        <v>293.33333333333695</v>
      </c>
      <c r="EO130" s="60">
        <f ca="1">AVERAGE(OFFSET($EN$3,0,0,'Données projet'!$E$15+1,1))-AVERAGE(OFFSET($H$3,0,0,'Données projet'!$E$15+1,1))</f>
        <v>253.03289960511904</v>
      </c>
      <c r="EP130" s="60">
        <f t="shared" si="100"/>
        <v>236.85088713056018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1.7053025658242404E-13</v>
      </c>
      <c r="FF130" s="18">
        <f>FE130*VLOOKUP('Données projet'!$B$16,Paramètres!$A$1:$I$89,3,0)*VLOOKUP('Données projet'!$B$16,Paramètres!$A$1:$I$89,5,0)</f>
        <v>1.4897523215040567E-13</v>
      </c>
      <c r="FG130" s="14">
        <f t="shared" si="101"/>
        <v>2.136562777003313E-12</v>
      </c>
      <c r="FH130" s="22">
        <f t="shared" si="76"/>
        <v>3.9806453659427267E-12</v>
      </c>
      <c r="FI130" s="60">
        <f t="shared" si="77"/>
        <v>293.33333333333729</v>
      </c>
      <c r="FJ130" s="60">
        <f ca="1">AVERAGE(OFFSET($FI$3,0,0,'Données projet'!$E$16+1,1))-AVERAGE(OFFSET($H$3,0,0,'Données projet'!$E$16+1,1))</f>
        <v>274.38315511766132</v>
      </c>
      <c r="FK130" s="60">
        <f t="shared" si="102"/>
        <v>255.96663040027175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-1.1368683772161603E-13</v>
      </c>
      <c r="GA130" s="18">
        <f>FZ130*VLOOKUP('Données projet'!$B$17,Paramètres!$A$1:$I$89,3,0)*VLOOKUP('Données projet'!$B$17,Paramètres!$A$1:$I$89,5,0)</f>
        <v>-9.7543306765146564E-14</v>
      </c>
      <c r="GB130" s="14" t="e">
        <f t="shared" si="103"/>
        <v>#NUM!</v>
      </c>
      <c r="GC130" s="22" t="e">
        <f t="shared" si="79"/>
        <v>#NUM!</v>
      </c>
      <c r="GD130" s="60" t="e">
        <f t="shared" si="80"/>
        <v>#NUM!</v>
      </c>
      <c r="GE130" s="60">
        <f ca="1">AVERAGE(OFFSET($GD$3,0,0,'Données projet'!$E$17+1,1))-AVERAGE(OFFSET($H$3,0,0,'Données projet'!$E$17+1,1))</f>
        <v>445.81166342116865</v>
      </c>
      <c r="GF130" s="60">
        <f t="shared" si="104"/>
        <v>230.82970731138215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5.6843418860808015E-14</v>
      </c>
      <c r="GV130" s="18">
        <f>GU130*VLOOKUP('Données projet'!$B$18,Paramètres!$A$1:$I$89,3,0)*VLOOKUP('Données projet'!$B$18,Paramètres!$A$1:$I$89,5,0)</f>
        <v>4.4337866711430253E-14</v>
      </c>
      <c r="GW130" s="14">
        <f t="shared" si="105"/>
        <v>7.3222115536967035E-13</v>
      </c>
      <c r="GX130" s="22">
        <f t="shared" si="82"/>
        <v>1.3525069634579169E-12</v>
      </c>
      <c r="GY130" s="60">
        <f t="shared" si="83"/>
        <v>293.33333333333468</v>
      </c>
      <c r="GZ130" s="60">
        <f ca="1">AVERAGE(OFFSET($GY$3,0,0,'Données projet'!$E$18+1,1))-AVERAGE(OFFSET($H$3,0,0,'Données projet'!$E$18+1,1))</f>
        <v>289.19475369871481</v>
      </c>
      <c r="HA130" s="60">
        <f t="shared" si="106"/>
        <v>283.48738729114024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projet'!$B$18,Paramètres!$A$1:$I$89,3,0)*0.475*44/12</f>
        <v>0</v>
      </c>
      <c r="HH130" s="23">
        <f>EXP(-LN(2)/25)*HH129+(1-EXP(-LN(2)/25))/(LN(2)/25)*Calculateur!HC130*Calculateur!HE130*VLOOKUP('Données projet'!$B$18,Paramètres!$A$1:$I$89,3,0)*0.475*44/12</f>
        <v>0</v>
      </c>
      <c r="HI130" s="23">
        <f>EXP(-LN(2)/2)*HI129+(1-EXP(-LN(2)/2))/(LN(2)/2)*HC130*HF130*VLOOKUP('Données projet'!$B$18,Paramètres!$A$1:$I$89,3,0)*0.475*44/12</f>
        <v>0</v>
      </c>
      <c r="HJ130" s="24">
        <f t="shared" si="84"/>
        <v>0</v>
      </c>
    </row>
    <row r="131" spans="1:218" s="5" customFormat="1" x14ac:dyDescent="0.3">
      <c r="A131" s="11">
        <f t="shared" si="85"/>
        <v>128</v>
      </c>
      <c r="B131" s="75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8">
        <f t="shared" si="56"/>
        <v>256.66666666666669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</v>
      </c>
      <c r="N131" s="14">
        <f>IF('Données projet'!$A$36&gt;35,N130+M131-V130,IF(A131&lt;'Données projet'!$A$36,$K$205^A131,IF(A131='Données projet'!$A$36,'Données projet'!$B$36,N130+M131-V130)))</f>
        <v>276.99999999999949</v>
      </c>
      <c r="O131" s="14">
        <f>N131*VLOOKUP('Données projet'!$B$9,Paramètres!$A$1:$I$89,3,0)*VLOOKUP('Données projet'!$B$9,Paramètres!$A$1:$I$89,5,0)</f>
        <v>267.91439999999949</v>
      </c>
      <c r="P131" s="14">
        <f t="shared" si="87"/>
        <v>64.406452772433894</v>
      </c>
      <c r="Q131" s="22">
        <f t="shared" ref="Q131:Q153" si="108">(O131+P131)*0.475*44/12</f>
        <v>578.79215191198807</v>
      </c>
      <c r="R131" s="60">
        <f t="shared" ref="R131:R194" si="109">Q131+(I131+J131)*44/12</f>
        <v>872.12548524532144</v>
      </c>
      <c r="S131" s="60">
        <f ca="1">AVERAGE(OFFSET($R$3,0,0,'Données projet'!$E$9+1,1))-AVERAGE(OFFSET($H$3,0,0,'Données projet'!$E$9+1,1))</f>
        <v>456.86147223520601</v>
      </c>
      <c r="T131" s="60">
        <f t="shared" si="88"/>
        <v>244.45149244446094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2.5579538487363607E-13</v>
      </c>
      <c r="AJ131" s="14">
        <f>AI131*VLOOKUP('Données projet'!$B$10,Paramètres!$A$1:$I$89,3,0)*VLOOKUP('Données projet'!$B$10,Paramètres!$A$1:$I$89,5,0)</f>
        <v>1.6759713616920635E-13</v>
      </c>
      <c r="AK131" s="14">
        <f t="shared" si="89"/>
        <v>2.3709043131075133E-12</v>
      </c>
      <c r="AL131" s="22">
        <f t="shared" si="58"/>
        <v>4.4212233574902864E-12</v>
      </c>
      <c r="AM131" s="60">
        <f t="shared" si="59"/>
        <v>293.33333333333775</v>
      </c>
      <c r="AN131" s="60">
        <f ca="1">AVERAGE(OFFSET($AM$3,0,0,'Données projet'!$E$10+1,1))-AVERAGE(OFFSET($H$3,0,0,'Données projet'!$E$10+1,1))</f>
        <v>170.79567854714986</v>
      </c>
      <c r="AO131" s="60">
        <f t="shared" si="90"/>
        <v>155.92788004111191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-1.1368683772161603E-13</v>
      </c>
      <c r="BE131" s="14">
        <f>BD131*VLOOKUP('Données projet'!$B$11,Paramètres!$A$1:$I$89,3,0)*VLOOKUP('Données projet'!$B$11,Paramètres!$A$1:$I$89,5,0)</f>
        <v>-9.2222762759774927E-14</v>
      </c>
      <c r="BF131" s="14" t="e">
        <f t="shared" si="91"/>
        <v>#NUM!</v>
      </c>
      <c r="BG131" s="22" t="e">
        <f t="shared" si="61"/>
        <v>#NUM!</v>
      </c>
      <c r="BH131" s="60" t="e">
        <f t="shared" si="62"/>
        <v>#NUM!</v>
      </c>
      <c r="BI131" s="60">
        <f ca="1">AVERAGE(OFFSET($BH$3,0,0,'Données projet'!$E$11+1,1))-AVERAGE(OFFSET($H$3,0,0,'Données projet'!$E$11+1,1))</f>
        <v>256.19915261735281</v>
      </c>
      <c r="BJ131" s="60">
        <f t="shared" si="92"/>
        <v>297.47246687305056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-5.6843418860808015E-14</v>
      </c>
      <c r="BZ131" s="14">
        <f>BY131*VLOOKUP('Données projet'!$B$12,Paramètres!$A$1:$I$89,3,0)*VLOOKUP('Données projet'!$B$12,Paramètres!$A$1:$I$89,5,0)</f>
        <v>-5.4092197387944907E-14</v>
      </c>
      <c r="CA131" s="14" t="e">
        <f t="shared" si="93"/>
        <v>#NUM!</v>
      </c>
      <c r="CB131" s="22" t="e">
        <f t="shared" si="64"/>
        <v>#NUM!</v>
      </c>
      <c r="CC131" s="60" t="e">
        <f t="shared" si="65"/>
        <v>#NUM!</v>
      </c>
      <c r="CD131" s="60">
        <f ca="1">AVERAGE(OFFSET($CC$3,0,0,'Données projet'!$E$12+1,1))-AVERAGE(OFFSET($H$3,0,0,'Données projet'!$E$12+1,1))</f>
        <v>353.53401919391234</v>
      </c>
      <c r="CE131" s="60">
        <f t="shared" si="94"/>
        <v>244.7141066773861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3</v>
      </c>
      <c r="CT131" s="13">
        <f>IF('Données projet'!$A$140&gt;35,CT130+CS131-DB130,IF(A131&lt;'Données projet'!$A$140,$CQ$205^A131,IF(A131='Données projet'!$A$140,'Données projet'!$B$140,CT130+CS131-DB130)))</f>
        <v>276.99999999999949</v>
      </c>
      <c r="CU131" s="18">
        <f>CT131*VLOOKUP('Données projet'!$B$13,Paramètres!$A$1:$I$89,3,0)*VLOOKUP('Données projet'!$B$13,Paramètres!$A$1:$I$89,5,0)</f>
        <v>233.34479999999959</v>
      </c>
      <c r="CV131" s="14">
        <f t="shared" si="95"/>
        <v>57.005296657823251</v>
      </c>
      <c r="CW131" s="22">
        <f t="shared" si="67"/>
        <v>505.69308501237475</v>
      </c>
      <c r="CX131" s="60">
        <f t="shared" si="68"/>
        <v>799.02641834570807</v>
      </c>
      <c r="CY131" s="60">
        <f ca="1">AVERAGE(OFFSET($CX$3,0,0,'Données projet'!$E$13+1,1))-AVERAGE(OFFSET($H$3,0,0,'Données projet'!$E$13+1,1))</f>
        <v>403.33327536410098</v>
      </c>
      <c r="CZ131" s="60">
        <f t="shared" si="96"/>
        <v>218.26721063098552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3.4106051316484809E-13</v>
      </c>
      <c r="DP131" s="18">
        <f>DO131*VLOOKUP('Données projet'!$B$14,Paramètres!$A$1:$I$89,3,0)*VLOOKUP('Données projet'!$B$14,Paramètres!$A$1:$I$89,5,0)</f>
        <v>2.7134774427395314E-13</v>
      </c>
      <c r="DQ131" s="14">
        <f t="shared" si="97"/>
        <v>3.6292411711343559E-12</v>
      </c>
      <c r="DR131" s="22">
        <f t="shared" si="70"/>
        <v>6.7935256943361388E-12</v>
      </c>
      <c r="DS131" s="60">
        <f t="shared" si="71"/>
        <v>293.33333333334014</v>
      </c>
      <c r="DT131" s="60">
        <f ca="1">AVERAGE(OFFSET($DS$3,0,0,'Données projet'!$E$14+1,1))-AVERAGE(OFFSET($H$3,0,0,'Données projet'!$E$14+1,1))</f>
        <v>317.13087551964747</v>
      </c>
      <c r="DU131" s="60">
        <f t="shared" si="98"/>
        <v>293.43300041793185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1.7053025658242404E-13</v>
      </c>
      <c r="EK131" s="18">
        <f>EJ131*VLOOKUP('Données projet'!$B$15,Paramètres!$A$1:$I$89,3,0)*VLOOKUP('Données projet'!$B$15,Paramètres!$A$1:$I$89,5,0)</f>
        <v>1.3567387213697657E-13</v>
      </c>
      <c r="EL131" s="14">
        <f t="shared" si="99"/>
        <v>1.9670967679808581E-12</v>
      </c>
      <c r="EM131" s="22">
        <f t="shared" si="73"/>
        <v>3.6623255315385623E-12</v>
      </c>
      <c r="EN131" s="60">
        <f t="shared" si="74"/>
        <v>293.33333333333695</v>
      </c>
      <c r="EO131" s="60">
        <f ca="1">AVERAGE(OFFSET($EN$3,0,0,'Données projet'!$E$15+1,1))-AVERAGE(OFFSET($H$3,0,0,'Données projet'!$E$15+1,1))</f>
        <v>253.03289960511904</v>
      </c>
      <c r="EP131" s="60">
        <f t="shared" si="100"/>
        <v>236.85088713056018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1.7053025658242404E-13</v>
      </c>
      <c r="FF131" s="18">
        <f>FE131*VLOOKUP('Données projet'!$B$16,Paramètres!$A$1:$I$89,3,0)*VLOOKUP('Données projet'!$B$16,Paramètres!$A$1:$I$89,5,0)</f>
        <v>1.4897523215040567E-13</v>
      </c>
      <c r="FG131" s="14">
        <f t="shared" si="101"/>
        <v>2.136562777003313E-12</v>
      </c>
      <c r="FH131" s="22">
        <f t="shared" si="76"/>
        <v>3.9806453659427267E-12</v>
      </c>
      <c r="FI131" s="60">
        <f t="shared" si="77"/>
        <v>293.33333333333729</v>
      </c>
      <c r="FJ131" s="60">
        <f ca="1">AVERAGE(OFFSET($FI$3,0,0,'Données projet'!$E$16+1,1))-AVERAGE(OFFSET($H$3,0,0,'Données projet'!$E$16+1,1))</f>
        <v>274.38315511766132</v>
      </c>
      <c r="FK131" s="60">
        <f t="shared" si="102"/>
        <v>255.96663040027175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-1.1368683772161603E-13</v>
      </c>
      <c r="GA131" s="18">
        <f>FZ131*VLOOKUP('Données projet'!$B$17,Paramètres!$A$1:$I$89,3,0)*VLOOKUP('Données projet'!$B$17,Paramètres!$A$1:$I$89,5,0)</f>
        <v>-9.7543306765146564E-14</v>
      </c>
      <c r="GB131" s="14" t="e">
        <f t="shared" si="103"/>
        <v>#NUM!</v>
      </c>
      <c r="GC131" s="22" t="e">
        <f t="shared" si="79"/>
        <v>#NUM!</v>
      </c>
      <c r="GD131" s="60" t="e">
        <f t="shared" si="80"/>
        <v>#NUM!</v>
      </c>
      <c r="GE131" s="60">
        <f ca="1">AVERAGE(OFFSET($GD$3,0,0,'Données projet'!$E$17+1,1))-AVERAGE(OFFSET($H$3,0,0,'Données projet'!$E$17+1,1))</f>
        <v>445.81166342116865</v>
      </c>
      <c r="GF131" s="60">
        <f t="shared" si="104"/>
        <v>230.82970731138215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5.6843418860808015E-14</v>
      </c>
      <c r="GV131" s="18">
        <f>GU131*VLOOKUP('Données projet'!$B$18,Paramètres!$A$1:$I$89,3,0)*VLOOKUP('Données projet'!$B$18,Paramètres!$A$1:$I$89,5,0)</f>
        <v>4.4337866711430253E-14</v>
      </c>
      <c r="GW131" s="14">
        <f t="shared" si="105"/>
        <v>7.3222115536967035E-13</v>
      </c>
      <c r="GX131" s="22">
        <f t="shared" si="82"/>
        <v>1.3525069634579169E-12</v>
      </c>
      <c r="GY131" s="60">
        <f t="shared" si="83"/>
        <v>293.33333333333468</v>
      </c>
      <c r="GZ131" s="60">
        <f ca="1">AVERAGE(OFFSET($GY$3,0,0,'Données projet'!$E$18+1,1))-AVERAGE(OFFSET($H$3,0,0,'Données projet'!$E$18+1,1))</f>
        <v>289.19475369871481</v>
      </c>
      <c r="HA131" s="60">
        <f t="shared" si="106"/>
        <v>283.48738729114024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projet'!$B$18,Paramètres!$A$1:$I$89,3,0)*0.475*44/12</f>
        <v>0</v>
      </c>
      <c r="HH131" s="23">
        <f>EXP(-LN(2)/25)*HH130+(1-EXP(-LN(2)/25))/(LN(2)/25)*Calculateur!HC131*Calculateur!HE131*VLOOKUP('Données projet'!$B$18,Paramètres!$A$1:$I$89,3,0)*0.475*44/12</f>
        <v>0</v>
      </c>
      <c r="HI131" s="23">
        <f>EXP(-LN(2)/2)*HI130+(1-EXP(-LN(2)/2))/(LN(2)/2)*HC131*HF131*VLOOKUP('Données projet'!$B$18,Paramètres!$A$1:$I$89,3,0)*0.475*44/12</f>
        <v>0</v>
      </c>
      <c r="HJ131" s="24">
        <f t="shared" si="84"/>
        <v>0</v>
      </c>
    </row>
    <row r="132" spans="1:218" s="5" customFormat="1" x14ac:dyDescent="0.3">
      <c r="A132" s="11">
        <f t="shared" si="85"/>
        <v>129</v>
      </c>
      <c r="B132" s="75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8">
        <f t="shared" ref="H132:H195" si="110">(B132+E132+F132)*44/12+(C132+D132)*0.475*44/12</f>
        <v>256.66666666666669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</v>
      </c>
      <c r="N132" s="14">
        <f>IF('Données projet'!$A$36&gt;35,N131+M132-V131,IF(A132&lt;'Données projet'!$A$36,$K$205^A132,IF(A132='Données projet'!$A$36,'Données projet'!$B$36,N131+M132-V131)))</f>
        <v>279.99999999999949</v>
      </c>
      <c r="O132" s="14">
        <f>N132*VLOOKUP('Données projet'!$B$9,Paramètres!$A$1:$I$89,3,0)*VLOOKUP('Données projet'!$B$9,Paramètres!$A$1:$I$89,5,0)</f>
        <v>270.81599999999952</v>
      </c>
      <c r="P132" s="14">
        <f t="shared" si="87"/>
        <v>65.022414656032197</v>
      </c>
      <c r="Q132" s="22">
        <f t="shared" si="108"/>
        <v>584.91857219258861</v>
      </c>
      <c r="R132" s="60">
        <f t="shared" si="109"/>
        <v>878.25190552592198</v>
      </c>
      <c r="S132" s="60">
        <f ca="1">AVERAGE(OFFSET($R$3,0,0,'Données projet'!$E$9+1,1))-AVERAGE(OFFSET($H$3,0,0,'Données projet'!$E$9+1,1))</f>
        <v>456.86147223520601</v>
      </c>
      <c r="T132" s="60">
        <f t="shared" si="88"/>
        <v>244.45149244446094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2.5579538487363607E-13</v>
      </c>
      <c r="AJ132" s="14">
        <f>AI132*VLOOKUP('Données projet'!$B$10,Paramètres!$A$1:$I$89,3,0)*VLOOKUP('Données projet'!$B$10,Paramètres!$A$1:$I$89,5,0)</f>
        <v>1.6759713616920635E-13</v>
      </c>
      <c r="AK132" s="14">
        <f t="shared" si="89"/>
        <v>2.3709043131075133E-12</v>
      </c>
      <c r="AL132" s="22">
        <f t="shared" ref="AL132:AL153" si="112">(AJ132+AK132)*0.475*44/12</f>
        <v>4.4212233574902864E-12</v>
      </c>
      <c r="AM132" s="60">
        <f t="shared" ref="AM132:AM195" si="113">AL132+(AD132+AE132)*44/12</f>
        <v>293.33333333333775</v>
      </c>
      <c r="AN132" s="60">
        <f ca="1">AVERAGE(OFFSET($AM$3,0,0,'Données projet'!$E$10+1,1))-AVERAGE(OFFSET($H$3,0,0,'Données projet'!$E$10+1,1))</f>
        <v>170.79567854714986</v>
      </c>
      <c r="AO132" s="60">
        <f t="shared" si="90"/>
        <v>155.92788004111191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-1.1368683772161603E-13</v>
      </c>
      <c r="BE132" s="14">
        <f>BD132*VLOOKUP('Données projet'!$B$11,Paramètres!$A$1:$I$89,3,0)*VLOOKUP('Données projet'!$B$11,Paramètres!$A$1:$I$89,5,0)</f>
        <v>-9.2222762759774927E-14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0" t="e">
        <f t="shared" ref="BH132:BH195" si="116">BG132+(AY132+AZ132)*44/12</f>
        <v>#NUM!</v>
      </c>
      <c r="BI132" s="60">
        <f ca="1">AVERAGE(OFFSET($BH$3,0,0,'Données projet'!$E$11+1,1))-AVERAGE(OFFSET($H$3,0,0,'Données projet'!$E$11+1,1))</f>
        <v>256.19915261735281</v>
      </c>
      <c r="BJ132" s="60">
        <f t="shared" si="92"/>
        <v>297.47246687305056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-5.6843418860808015E-14</v>
      </c>
      <c r="BZ132" s="14">
        <f>BY132*VLOOKUP('Données projet'!$B$12,Paramètres!$A$1:$I$89,3,0)*VLOOKUP('Données projet'!$B$12,Paramètres!$A$1:$I$89,5,0)</f>
        <v>-5.4092197387944907E-14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0" t="e">
        <f t="shared" ref="CC132:CC195" si="119">CB132+(BT132+BU132)*44/12</f>
        <v>#NUM!</v>
      </c>
      <c r="CD132" s="60">
        <f ca="1">AVERAGE(OFFSET($CC$3,0,0,'Données projet'!$E$12+1,1))-AVERAGE(OFFSET($H$3,0,0,'Données projet'!$E$12+1,1))</f>
        <v>353.53401919391234</v>
      </c>
      <c r="CE132" s="60">
        <f t="shared" si="94"/>
        <v>244.7141066773861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3</v>
      </c>
      <c r="CT132" s="13">
        <f>IF('Données projet'!$A$140&gt;35,CT131+CS132-DB131,IF(A132&lt;'Données projet'!$A$140,$CQ$205^A132,IF(A132='Données projet'!$A$140,'Données projet'!$B$140,CT131+CS132-DB131)))</f>
        <v>279.99999999999949</v>
      </c>
      <c r="CU132" s="18">
        <f>CT132*VLOOKUP('Données projet'!$B$13,Paramètres!$A$1:$I$89,3,0)*VLOOKUP('Données projet'!$B$13,Paramètres!$A$1:$I$89,5,0)</f>
        <v>235.87199999999959</v>
      </c>
      <c r="CV132" s="14">
        <f t="shared" si="95"/>
        <v>57.55047634701517</v>
      </c>
      <c r="CW132" s="22">
        <f t="shared" ref="CW132:CW153" si="121">(CU132+CV132)*0.475*44/12</f>
        <v>511.04414630438401</v>
      </c>
      <c r="CX132" s="60">
        <f t="shared" ref="CX132:CX195" si="122">CW132+(CO132+CP132)*44/12</f>
        <v>804.37747963771733</v>
      </c>
      <c r="CY132" s="60">
        <f ca="1">AVERAGE(OFFSET($CX$3,0,0,'Données projet'!$E$13+1,1))-AVERAGE(OFFSET($H$3,0,0,'Données projet'!$E$13+1,1))</f>
        <v>403.33327536410098</v>
      </c>
      <c r="CZ132" s="60">
        <f t="shared" si="96"/>
        <v>218.26721063098552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3.4106051316484809E-13</v>
      </c>
      <c r="DP132" s="18">
        <f>DO132*VLOOKUP('Données projet'!$B$14,Paramètres!$A$1:$I$89,3,0)*VLOOKUP('Données projet'!$B$14,Paramètres!$A$1:$I$89,5,0)</f>
        <v>2.7134774427395314E-13</v>
      </c>
      <c r="DQ132" s="14">
        <f t="shared" si="97"/>
        <v>3.6292411711343559E-12</v>
      </c>
      <c r="DR132" s="22">
        <f t="shared" ref="DR132:DR153" si="124">(DP132+DQ132)*0.475*44/12</f>
        <v>6.7935256943361388E-12</v>
      </c>
      <c r="DS132" s="60">
        <f t="shared" ref="DS132:DS195" si="125">DR132+(DJ132+DK132)*44/12</f>
        <v>293.33333333334014</v>
      </c>
      <c r="DT132" s="60">
        <f ca="1">AVERAGE(OFFSET($DS$3,0,0,'Données projet'!$E$14+1,1))-AVERAGE(OFFSET($H$3,0,0,'Données projet'!$E$14+1,1))</f>
        <v>317.13087551964747</v>
      </c>
      <c r="DU132" s="60">
        <f t="shared" si="98"/>
        <v>293.43300041793185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1.7053025658242404E-13</v>
      </c>
      <c r="EK132" s="18">
        <f>EJ132*VLOOKUP('Données projet'!$B$15,Paramètres!$A$1:$I$89,3,0)*VLOOKUP('Données projet'!$B$15,Paramètres!$A$1:$I$89,5,0)</f>
        <v>1.3567387213697657E-13</v>
      </c>
      <c r="EL132" s="14">
        <f t="shared" si="99"/>
        <v>1.9670967679808581E-12</v>
      </c>
      <c r="EM132" s="22">
        <f t="shared" ref="EM132:EM153" si="127">(EK132+EL132)*0.475*44/12</f>
        <v>3.6623255315385623E-12</v>
      </c>
      <c r="EN132" s="60">
        <f t="shared" ref="EN132:EN195" si="128">EM132+(EE132+EF132)*44/12</f>
        <v>293.33333333333695</v>
      </c>
      <c r="EO132" s="60">
        <f ca="1">AVERAGE(OFFSET($EN$3,0,0,'Données projet'!$E$15+1,1))-AVERAGE(OFFSET($H$3,0,0,'Données projet'!$E$15+1,1))</f>
        <v>253.03289960511904</v>
      </c>
      <c r="EP132" s="60">
        <f t="shared" si="100"/>
        <v>236.85088713056018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1.7053025658242404E-13</v>
      </c>
      <c r="FF132" s="18">
        <f>FE132*VLOOKUP('Données projet'!$B$16,Paramètres!$A$1:$I$89,3,0)*VLOOKUP('Données projet'!$B$16,Paramètres!$A$1:$I$89,5,0)</f>
        <v>1.4897523215040567E-13</v>
      </c>
      <c r="FG132" s="14">
        <f t="shared" si="101"/>
        <v>2.136562777003313E-12</v>
      </c>
      <c r="FH132" s="22">
        <f t="shared" ref="FH132:FH153" si="130">(FF132+FG132)*0.475*44/12</f>
        <v>3.9806453659427267E-12</v>
      </c>
      <c r="FI132" s="60">
        <f t="shared" ref="FI132:FI195" si="131">FH132+(EZ132+FA132)*44/12</f>
        <v>293.33333333333729</v>
      </c>
      <c r="FJ132" s="60">
        <f ca="1">AVERAGE(OFFSET($FI$3,0,0,'Données projet'!$E$16+1,1))-AVERAGE(OFFSET($H$3,0,0,'Données projet'!$E$16+1,1))</f>
        <v>274.38315511766132</v>
      </c>
      <c r="FK132" s="60">
        <f t="shared" si="102"/>
        <v>255.96663040027175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-1.1368683772161603E-13</v>
      </c>
      <c r="GA132" s="18">
        <f>FZ132*VLOOKUP('Données projet'!$B$17,Paramètres!$A$1:$I$89,3,0)*VLOOKUP('Données projet'!$B$17,Paramètres!$A$1:$I$89,5,0)</f>
        <v>-9.7543306765146564E-14</v>
      </c>
      <c r="GB132" s="14" t="e">
        <f t="shared" si="103"/>
        <v>#NUM!</v>
      </c>
      <c r="GC132" s="22" t="e">
        <f t="shared" ref="GC132:GC153" si="133">(GA132+GB132)*0.475*44/12</f>
        <v>#NUM!</v>
      </c>
      <c r="GD132" s="60" t="e">
        <f t="shared" ref="GD132:GD195" si="134">GC132+(FU132+FV132)*44/12</f>
        <v>#NUM!</v>
      </c>
      <c r="GE132" s="60">
        <f ca="1">AVERAGE(OFFSET($GD$3,0,0,'Données projet'!$E$17+1,1))-AVERAGE(OFFSET($H$3,0,0,'Données projet'!$E$17+1,1))</f>
        <v>445.81166342116865</v>
      </c>
      <c r="GF132" s="60">
        <f t="shared" si="104"/>
        <v>230.82970731138215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5.6843418860808015E-14</v>
      </c>
      <c r="GV132" s="18">
        <f>GU132*VLOOKUP('Données projet'!$B$18,Paramètres!$A$1:$I$89,3,0)*VLOOKUP('Données projet'!$B$18,Paramètres!$A$1:$I$89,5,0)</f>
        <v>4.4337866711430253E-14</v>
      </c>
      <c r="GW132" s="14">
        <f t="shared" si="105"/>
        <v>7.3222115536967035E-13</v>
      </c>
      <c r="GX132" s="22">
        <f t="shared" ref="GX132:GX153" si="136">(GV132+GW132)*0.475*44/12</f>
        <v>1.3525069634579169E-12</v>
      </c>
      <c r="GY132" s="60">
        <f t="shared" ref="GY132:GY195" si="137">GX132+(GP132+GQ132)*44/12</f>
        <v>293.33333333333468</v>
      </c>
      <c r="GZ132" s="60">
        <f ca="1">AVERAGE(OFFSET($GY$3,0,0,'Données projet'!$E$18+1,1))-AVERAGE(OFFSET($H$3,0,0,'Données projet'!$E$18+1,1))</f>
        <v>289.19475369871481</v>
      </c>
      <c r="HA132" s="60">
        <f t="shared" si="106"/>
        <v>283.48738729114024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projet'!$B$18,Paramètres!$A$1:$I$89,3,0)*0.475*44/12</f>
        <v>0</v>
      </c>
      <c r="HH132" s="23">
        <f>EXP(-LN(2)/25)*HH131+(1-EXP(-LN(2)/25))/(LN(2)/25)*Calculateur!HC132*Calculateur!HE132*VLOOKUP('Données projet'!$B$18,Paramètres!$A$1:$I$89,3,0)*0.475*44/12</f>
        <v>0</v>
      </c>
      <c r="HI132" s="23">
        <f>EXP(-LN(2)/2)*HI131+(1-EXP(-LN(2)/2))/(LN(2)/2)*HC132*HF132*VLOOKUP('Données projet'!$B$18,Paramètres!$A$1:$I$89,3,0)*0.475*44/12</f>
        <v>0</v>
      </c>
      <c r="HJ132" s="24">
        <f t="shared" ref="HJ132:HJ153" si="138">SUM(HG132:HI132)</f>
        <v>0</v>
      </c>
    </row>
    <row r="133" spans="1:218" s="5" customFormat="1" x14ac:dyDescent="0.3">
      <c r="A133" s="11">
        <f t="shared" ref="A133:A152" si="139">A132+1</f>
        <v>130</v>
      </c>
      <c r="B133" s="75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8">
        <f t="shared" si="110"/>
        <v>256.66666666666669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3</v>
      </c>
      <c r="N133" s="14">
        <f>IF('Données projet'!$A$36&gt;35,N132+M133-V132,IF(A133&lt;'Données projet'!$A$36,$K$205^A133,IF(A133='Données projet'!$A$36,'Données projet'!$B$36,N132+M133-V132)))</f>
        <v>282.99999999999949</v>
      </c>
      <c r="O133" s="14">
        <f>N133*VLOOKUP('Données projet'!$B$9,Paramètres!$A$1:$I$89,3,0)*VLOOKUP('Données projet'!$B$9,Paramètres!$A$1:$I$89,5,0)</f>
        <v>273.71759999999955</v>
      </c>
      <c r="P133" s="14">
        <f t="shared" ref="P133:P196" si="141">EXP(-1.0587+0.8836*LN(O133)+0.284)</f>
        <v>65.637608810456612</v>
      </c>
      <c r="Q133" s="22">
        <f t="shared" si="108"/>
        <v>591.04365534487772</v>
      </c>
      <c r="R133" s="60">
        <f t="shared" si="109"/>
        <v>884.37698867821109</v>
      </c>
      <c r="S133" s="60">
        <f ca="1">AVERAGE(OFFSET($R$3,0,0,'Données projet'!$E$9+1,1))-AVERAGE(OFFSET($H$3,0,0,'Données projet'!$E$9+1,1))</f>
        <v>456.86147223520601</v>
      </c>
      <c r="T133" s="60">
        <f t="shared" ref="T133:T196" si="142">$T$3</f>
        <v>244.45149244446094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2.5579538487363607E-13</v>
      </c>
      <c r="AJ133" s="14">
        <f>AI133*VLOOKUP('Données projet'!$B$10,Paramètres!$A$1:$I$89,3,0)*VLOOKUP('Données projet'!$B$10,Paramètres!$A$1:$I$89,5,0)</f>
        <v>1.6759713616920635E-13</v>
      </c>
      <c r="AK133" s="14">
        <f t="shared" ref="AK133:AK153" si="143">EXP(-1.0587+0.8836*LN(AJ133)+0.284)</f>
        <v>2.3709043131075133E-12</v>
      </c>
      <c r="AL133" s="22">
        <f t="shared" si="112"/>
        <v>4.4212233574902864E-12</v>
      </c>
      <c r="AM133" s="60">
        <f t="shared" si="113"/>
        <v>293.33333333333775</v>
      </c>
      <c r="AN133" s="60">
        <f ca="1">AVERAGE(OFFSET($AM$3,0,0,'Données projet'!$E$10+1,1))-AVERAGE(OFFSET($H$3,0,0,'Données projet'!$E$10+1,1))</f>
        <v>170.79567854714986</v>
      </c>
      <c r="AO133" s="60">
        <f t="shared" ref="AO133:AO196" si="144">$AO$3</f>
        <v>155.92788004111191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-1.1368683772161603E-13</v>
      </c>
      <c r="BE133" s="14">
        <f>BD133*VLOOKUP('Données projet'!$B$11,Paramètres!$A$1:$I$89,3,0)*VLOOKUP('Données projet'!$B$11,Paramètres!$A$1:$I$89,5,0)</f>
        <v>-9.2222762759774927E-14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0" t="e">
        <f t="shared" si="116"/>
        <v>#NUM!</v>
      </c>
      <c r="BI133" s="60">
        <f ca="1">AVERAGE(OFFSET($BH$3,0,0,'Données projet'!$E$11+1,1))-AVERAGE(OFFSET($H$3,0,0,'Données projet'!$E$11+1,1))</f>
        <v>256.19915261735281</v>
      </c>
      <c r="BJ133" s="60">
        <f t="shared" ref="BJ133:BJ196" si="146">$BJ$3</f>
        <v>297.47246687305056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-5.6843418860808015E-14</v>
      </c>
      <c r="BZ133" s="14">
        <f>BY133*VLOOKUP('Données projet'!$B$12,Paramètres!$A$1:$I$89,3,0)*VLOOKUP('Données projet'!$B$12,Paramètres!$A$1:$I$89,5,0)</f>
        <v>-5.4092197387944907E-14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0" t="e">
        <f t="shared" si="119"/>
        <v>#NUM!</v>
      </c>
      <c r="CD133" s="60">
        <f ca="1">AVERAGE(OFFSET($CC$3,0,0,'Données projet'!$E$12+1,1))-AVERAGE(OFFSET($H$3,0,0,'Données projet'!$E$12+1,1))</f>
        <v>353.53401919391234</v>
      </c>
      <c r="CE133" s="60">
        <f t="shared" ref="CE133:CE196" si="148">$CE$3</f>
        <v>244.7141066773861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3</v>
      </c>
      <c r="CT133" s="13">
        <f>IF('Données projet'!$A$140&gt;35,CT132+CS133-DB132,IF(A133&lt;'Données projet'!$A$140,$CQ$205^A133,IF(A133='Données projet'!$A$140,'Données projet'!$B$140,CT132+CS133-DB132)))</f>
        <v>282.99999999999949</v>
      </c>
      <c r="CU133" s="18">
        <f>CT133*VLOOKUP('Données projet'!$B$13,Paramètres!$A$1:$I$89,3,0)*VLOOKUP('Données projet'!$B$13,Paramètres!$A$1:$I$89,5,0)</f>
        <v>238.39919999999961</v>
      </c>
      <c r="CV133" s="14">
        <f t="shared" ref="CV133:CV153" si="149">EXP(-1.0587+0.8836*LN(CU133)+0.284)</f>
        <v>58.094976529303302</v>
      </c>
      <c r="CW133" s="22">
        <f t="shared" si="121"/>
        <v>516.39402412186928</v>
      </c>
      <c r="CX133" s="60">
        <f t="shared" si="122"/>
        <v>809.72735745520254</v>
      </c>
      <c r="CY133" s="60">
        <f ca="1">AVERAGE(OFFSET($CX$3,0,0,'Données projet'!$E$13+1,1))-AVERAGE(OFFSET($H$3,0,0,'Données projet'!$E$13+1,1))</f>
        <v>403.33327536410098</v>
      </c>
      <c r="CZ133" s="60">
        <f t="shared" ref="CZ133:CZ196" si="150">$CZ$3</f>
        <v>218.26721063098552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3.4106051316484809E-13</v>
      </c>
      <c r="DP133" s="18">
        <f>DO133*VLOOKUP('Données projet'!$B$14,Paramètres!$A$1:$I$89,3,0)*VLOOKUP('Données projet'!$B$14,Paramètres!$A$1:$I$89,5,0)</f>
        <v>2.7134774427395314E-13</v>
      </c>
      <c r="DQ133" s="14">
        <f t="shared" ref="DQ133:DQ153" si="151">EXP(-1.0587+0.8836*LN(DP133)+0.284)</f>
        <v>3.6292411711343559E-12</v>
      </c>
      <c r="DR133" s="22">
        <f t="shared" si="124"/>
        <v>6.7935256943361388E-12</v>
      </c>
      <c r="DS133" s="60">
        <f t="shared" si="125"/>
        <v>293.33333333334014</v>
      </c>
      <c r="DT133" s="60">
        <f ca="1">AVERAGE(OFFSET($DS$3,0,0,'Données projet'!$E$14+1,1))-AVERAGE(OFFSET($H$3,0,0,'Données projet'!$E$14+1,1))</f>
        <v>317.13087551964747</v>
      </c>
      <c r="DU133" s="60">
        <f t="shared" ref="DU133:DU196" si="152">$DU$3</f>
        <v>293.43300041793185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1.7053025658242404E-13</v>
      </c>
      <c r="EK133" s="18">
        <f>EJ133*VLOOKUP('Données projet'!$B$15,Paramètres!$A$1:$I$89,3,0)*VLOOKUP('Données projet'!$B$15,Paramètres!$A$1:$I$89,5,0)</f>
        <v>1.3567387213697657E-13</v>
      </c>
      <c r="EL133" s="14">
        <f t="shared" ref="EL133:EL153" si="153">EXP(-1.0587+0.8836*LN(EK133)+0.284)</f>
        <v>1.9670967679808581E-12</v>
      </c>
      <c r="EM133" s="22">
        <f t="shared" si="127"/>
        <v>3.6623255315385623E-12</v>
      </c>
      <c r="EN133" s="60">
        <f t="shared" si="128"/>
        <v>293.33333333333695</v>
      </c>
      <c r="EO133" s="60">
        <f ca="1">AVERAGE(OFFSET($EN$3,0,0,'Données projet'!$E$15+1,1))-AVERAGE(OFFSET($H$3,0,0,'Données projet'!$E$15+1,1))</f>
        <v>253.03289960511904</v>
      </c>
      <c r="EP133" s="60">
        <f t="shared" ref="EP133:EP196" si="154">$EP$3</f>
        <v>236.85088713056018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1.7053025658242404E-13</v>
      </c>
      <c r="FF133" s="18">
        <f>FE133*VLOOKUP('Données projet'!$B$16,Paramètres!$A$1:$I$89,3,0)*VLOOKUP('Données projet'!$B$16,Paramètres!$A$1:$I$89,5,0)</f>
        <v>1.4897523215040567E-13</v>
      </c>
      <c r="FG133" s="14">
        <f t="shared" ref="FG133:FG153" si="155">EXP(-1.0587+0.8836*LN(FF133)+0.284)</f>
        <v>2.136562777003313E-12</v>
      </c>
      <c r="FH133" s="22">
        <f t="shared" si="130"/>
        <v>3.9806453659427267E-12</v>
      </c>
      <c r="FI133" s="60">
        <f t="shared" si="131"/>
        <v>293.33333333333729</v>
      </c>
      <c r="FJ133" s="60">
        <f ca="1">AVERAGE(OFFSET($FI$3,0,0,'Données projet'!$E$16+1,1))-AVERAGE(OFFSET($H$3,0,0,'Données projet'!$E$16+1,1))</f>
        <v>274.38315511766132</v>
      </c>
      <c r="FK133" s="60">
        <f t="shared" ref="FK133:FK196" si="156">$FK$3</f>
        <v>255.96663040027175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-1.1368683772161603E-13</v>
      </c>
      <c r="GA133" s="18">
        <f>FZ133*VLOOKUP('Données projet'!$B$17,Paramètres!$A$1:$I$89,3,0)*VLOOKUP('Données projet'!$B$17,Paramètres!$A$1:$I$89,5,0)</f>
        <v>-9.7543306765146564E-14</v>
      </c>
      <c r="GB133" s="14" t="e">
        <f t="shared" ref="GB133:GB153" si="157">EXP(-1.0587+0.8836*LN(GA133)+0.284)</f>
        <v>#NUM!</v>
      </c>
      <c r="GC133" s="22" t="e">
        <f t="shared" si="133"/>
        <v>#NUM!</v>
      </c>
      <c r="GD133" s="60" t="e">
        <f t="shared" si="134"/>
        <v>#NUM!</v>
      </c>
      <c r="GE133" s="60">
        <f ca="1">AVERAGE(OFFSET($GD$3,0,0,'Données projet'!$E$17+1,1))-AVERAGE(OFFSET($H$3,0,0,'Données projet'!$E$17+1,1))</f>
        <v>445.81166342116865</v>
      </c>
      <c r="GF133" s="60">
        <f t="shared" ref="GF133:GF196" si="158">$GF$3</f>
        <v>230.82970731138215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5.6843418860808015E-14</v>
      </c>
      <c r="GV133" s="18">
        <f>GU133*VLOOKUP('Données projet'!$B$18,Paramètres!$A$1:$I$89,3,0)*VLOOKUP('Données projet'!$B$18,Paramètres!$A$1:$I$89,5,0)</f>
        <v>4.4337866711430253E-14</v>
      </c>
      <c r="GW133" s="14">
        <f t="shared" ref="GW133:GW153" si="159">EXP(-1.0587+0.8836*LN(GV133)+0.284)</f>
        <v>7.3222115536967035E-13</v>
      </c>
      <c r="GX133" s="22">
        <f t="shared" si="136"/>
        <v>1.3525069634579169E-12</v>
      </c>
      <c r="GY133" s="60">
        <f t="shared" si="137"/>
        <v>293.33333333333468</v>
      </c>
      <c r="GZ133" s="60">
        <f ca="1">AVERAGE(OFFSET($GY$3,0,0,'Données projet'!$E$18+1,1))-AVERAGE(OFFSET($H$3,0,0,'Données projet'!$E$18+1,1))</f>
        <v>289.19475369871481</v>
      </c>
      <c r="HA133" s="60">
        <f t="shared" ref="HA133:HA196" si="160">$HA$3</f>
        <v>283.48738729114024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projet'!$B$18,Paramètres!$A$1:$I$89,3,0)*0.475*44/12</f>
        <v>0</v>
      </c>
      <c r="HH133" s="23">
        <f>EXP(-LN(2)/25)*HH132+(1-EXP(-LN(2)/25))/(LN(2)/25)*Calculateur!HC133*Calculateur!HE133*VLOOKUP('Données projet'!$B$18,Paramètres!$A$1:$I$89,3,0)*0.475*44/12</f>
        <v>0</v>
      </c>
      <c r="HI133" s="23">
        <f>EXP(-LN(2)/2)*HI132+(1-EXP(-LN(2)/2))/(LN(2)/2)*HC133*HF133*VLOOKUP('Données projet'!$B$18,Paramètres!$A$1:$I$89,3,0)*0.475*44/12</f>
        <v>0</v>
      </c>
      <c r="HJ133" s="24">
        <f t="shared" si="138"/>
        <v>0</v>
      </c>
    </row>
    <row r="134" spans="1:218" s="5" customFormat="1" x14ac:dyDescent="0.3">
      <c r="A134" s="11">
        <f t="shared" si="139"/>
        <v>131</v>
      </c>
      <c r="B134" s="75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8">
        <f t="shared" si="110"/>
        <v>256.66666666666669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</v>
      </c>
      <c r="N134" s="14">
        <f>IF('Données projet'!$A$36&gt;35,N133+M134-V133,IF(A134&lt;'Données projet'!$A$36,$K$205^A134,IF(A134='Données projet'!$A$36,'Données projet'!$B$36,N133+M134-V133)))</f>
        <v>285.99999999999949</v>
      </c>
      <c r="O134" s="14">
        <f>N134*VLOOKUP('Données projet'!$B$9,Paramètres!$A$1:$I$89,3,0)*VLOOKUP('Données projet'!$B$9,Paramètres!$A$1:$I$89,5,0)</f>
        <v>276.61919999999952</v>
      </c>
      <c r="P134" s="14">
        <f t="shared" si="141"/>
        <v>66.252044316235398</v>
      </c>
      <c r="Q134" s="22">
        <f t="shared" si="108"/>
        <v>597.16741718410913</v>
      </c>
      <c r="R134" s="60">
        <f t="shared" si="109"/>
        <v>890.50075051744238</v>
      </c>
      <c r="S134" s="60">
        <f ca="1">AVERAGE(OFFSET($R$3,0,0,'Données projet'!$E$9+1,1))-AVERAGE(OFFSET($H$3,0,0,'Données projet'!$E$9+1,1))</f>
        <v>456.86147223520601</v>
      </c>
      <c r="T134" s="60">
        <f t="shared" si="142"/>
        <v>244.45149244446094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2.5579538487363607E-13</v>
      </c>
      <c r="AJ134" s="14">
        <f>AI134*VLOOKUP('Données projet'!$B$10,Paramètres!$A$1:$I$89,3,0)*VLOOKUP('Données projet'!$B$10,Paramètres!$A$1:$I$89,5,0)</f>
        <v>1.6759713616920635E-13</v>
      </c>
      <c r="AK134" s="14">
        <f t="shared" si="143"/>
        <v>2.3709043131075133E-12</v>
      </c>
      <c r="AL134" s="22">
        <f t="shared" si="112"/>
        <v>4.4212233574902864E-12</v>
      </c>
      <c r="AM134" s="60">
        <f t="shared" si="113"/>
        <v>293.33333333333775</v>
      </c>
      <c r="AN134" s="60">
        <f ca="1">AVERAGE(OFFSET($AM$3,0,0,'Données projet'!$E$10+1,1))-AVERAGE(OFFSET($H$3,0,0,'Données projet'!$E$10+1,1))</f>
        <v>170.79567854714986</v>
      </c>
      <c r="AO134" s="60">
        <f t="shared" si="144"/>
        <v>155.92788004111191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-1.1368683772161603E-13</v>
      </c>
      <c r="BE134" s="14">
        <f>BD134*VLOOKUP('Données projet'!$B$11,Paramètres!$A$1:$I$89,3,0)*VLOOKUP('Données projet'!$B$11,Paramètres!$A$1:$I$89,5,0)</f>
        <v>-9.2222762759774927E-14</v>
      </c>
      <c r="BF134" s="14" t="e">
        <f t="shared" si="145"/>
        <v>#NUM!</v>
      </c>
      <c r="BG134" s="22" t="e">
        <f t="shared" si="115"/>
        <v>#NUM!</v>
      </c>
      <c r="BH134" s="60" t="e">
        <f t="shared" si="116"/>
        <v>#NUM!</v>
      </c>
      <c r="BI134" s="60">
        <f ca="1">AVERAGE(OFFSET($BH$3,0,0,'Données projet'!$E$11+1,1))-AVERAGE(OFFSET($H$3,0,0,'Données projet'!$E$11+1,1))</f>
        <v>256.19915261735281</v>
      </c>
      <c r="BJ134" s="60">
        <f t="shared" si="146"/>
        <v>297.47246687305056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-5.6843418860808015E-14</v>
      </c>
      <c r="BZ134" s="14">
        <f>BY134*VLOOKUP('Données projet'!$B$12,Paramètres!$A$1:$I$89,3,0)*VLOOKUP('Données projet'!$B$12,Paramètres!$A$1:$I$89,5,0)</f>
        <v>-5.4092197387944907E-14</v>
      </c>
      <c r="CA134" s="14" t="e">
        <f t="shared" si="147"/>
        <v>#NUM!</v>
      </c>
      <c r="CB134" s="22" t="e">
        <f t="shared" si="118"/>
        <v>#NUM!</v>
      </c>
      <c r="CC134" s="60" t="e">
        <f t="shared" si="119"/>
        <v>#NUM!</v>
      </c>
      <c r="CD134" s="60">
        <f ca="1">AVERAGE(OFFSET($CC$3,0,0,'Données projet'!$E$12+1,1))-AVERAGE(OFFSET($H$3,0,0,'Données projet'!$E$12+1,1))</f>
        <v>353.53401919391234</v>
      </c>
      <c r="CE134" s="60">
        <f t="shared" si="148"/>
        <v>244.7141066773861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3</v>
      </c>
      <c r="CT134" s="13">
        <f>IF('Données projet'!$A$140&gt;35,CT133+CS134-DB133,IF(A134&lt;'Données projet'!$A$140,$CQ$205^A134,IF(A134='Données projet'!$A$140,'Données projet'!$B$140,CT133+CS134-DB133)))</f>
        <v>285.99999999999949</v>
      </c>
      <c r="CU134" s="18">
        <f>CT134*VLOOKUP('Données projet'!$B$13,Paramètres!$A$1:$I$89,3,0)*VLOOKUP('Données projet'!$B$13,Paramètres!$A$1:$I$89,5,0)</f>
        <v>240.9263999999996</v>
      </c>
      <c r="CV134" s="14">
        <f t="shared" si="149"/>
        <v>58.638805241742716</v>
      </c>
      <c r="CW134" s="22">
        <f t="shared" si="121"/>
        <v>521.74273246270116</v>
      </c>
      <c r="CX134" s="60">
        <f t="shared" si="122"/>
        <v>815.07606579603453</v>
      </c>
      <c r="CY134" s="60">
        <f ca="1">AVERAGE(OFFSET($CX$3,0,0,'Données projet'!$E$13+1,1))-AVERAGE(OFFSET($H$3,0,0,'Données projet'!$E$13+1,1))</f>
        <v>403.33327536410098</v>
      </c>
      <c r="CZ134" s="60">
        <f t="shared" si="150"/>
        <v>218.26721063098552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3.4106051316484809E-13</v>
      </c>
      <c r="DP134" s="18">
        <f>DO134*VLOOKUP('Données projet'!$B$14,Paramètres!$A$1:$I$89,3,0)*VLOOKUP('Données projet'!$B$14,Paramètres!$A$1:$I$89,5,0)</f>
        <v>2.7134774427395314E-13</v>
      </c>
      <c r="DQ134" s="14">
        <f t="shared" si="151"/>
        <v>3.6292411711343559E-12</v>
      </c>
      <c r="DR134" s="22">
        <f t="shared" si="124"/>
        <v>6.7935256943361388E-12</v>
      </c>
      <c r="DS134" s="60">
        <f t="shared" si="125"/>
        <v>293.33333333334014</v>
      </c>
      <c r="DT134" s="60">
        <f ca="1">AVERAGE(OFFSET($DS$3,0,0,'Données projet'!$E$14+1,1))-AVERAGE(OFFSET($H$3,0,0,'Données projet'!$E$14+1,1))</f>
        <v>317.13087551964747</v>
      </c>
      <c r="DU134" s="60">
        <f t="shared" si="152"/>
        <v>293.43300041793185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1.7053025658242404E-13</v>
      </c>
      <c r="EK134" s="18">
        <f>EJ134*VLOOKUP('Données projet'!$B$15,Paramètres!$A$1:$I$89,3,0)*VLOOKUP('Données projet'!$B$15,Paramètres!$A$1:$I$89,5,0)</f>
        <v>1.3567387213697657E-13</v>
      </c>
      <c r="EL134" s="14">
        <f t="shared" si="153"/>
        <v>1.9670967679808581E-12</v>
      </c>
      <c r="EM134" s="22">
        <f t="shared" si="127"/>
        <v>3.6623255315385623E-12</v>
      </c>
      <c r="EN134" s="60">
        <f t="shared" si="128"/>
        <v>293.33333333333695</v>
      </c>
      <c r="EO134" s="60">
        <f ca="1">AVERAGE(OFFSET($EN$3,0,0,'Données projet'!$E$15+1,1))-AVERAGE(OFFSET($H$3,0,0,'Données projet'!$E$15+1,1))</f>
        <v>253.03289960511904</v>
      </c>
      <c r="EP134" s="60">
        <f t="shared" si="154"/>
        <v>236.85088713056018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1.7053025658242404E-13</v>
      </c>
      <c r="FF134" s="18">
        <f>FE134*VLOOKUP('Données projet'!$B$16,Paramètres!$A$1:$I$89,3,0)*VLOOKUP('Données projet'!$B$16,Paramètres!$A$1:$I$89,5,0)</f>
        <v>1.4897523215040567E-13</v>
      </c>
      <c r="FG134" s="14">
        <f t="shared" si="155"/>
        <v>2.136562777003313E-12</v>
      </c>
      <c r="FH134" s="22">
        <f t="shared" si="130"/>
        <v>3.9806453659427267E-12</v>
      </c>
      <c r="FI134" s="60">
        <f t="shared" si="131"/>
        <v>293.33333333333729</v>
      </c>
      <c r="FJ134" s="60">
        <f ca="1">AVERAGE(OFFSET($FI$3,0,0,'Données projet'!$E$16+1,1))-AVERAGE(OFFSET($H$3,0,0,'Données projet'!$E$16+1,1))</f>
        <v>274.38315511766132</v>
      </c>
      <c r="FK134" s="60">
        <f t="shared" si="156"/>
        <v>255.96663040027175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-1.1368683772161603E-13</v>
      </c>
      <c r="GA134" s="18">
        <f>FZ134*VLOOKUP('Données projet'!$B$17,Paramètres!$A$1:$I$89,3,0)*VLOOKUP('Données projet'!$B$17,Paramètres!$A$1:$I$89,5,0)</f>
        <v>-9.7543306765146564E-14</v>
      </c>
      <c r="GB134" s="14" t="e">
        <f t="shared" si="157"/>
        <v>#NUM!</v>
      </c>
      <c r="GC134" s="22" t="e">
        <f t="shared" si="133"/>
        <v>#NUM!</v>
      </c>
      <c r="GD134" s="60" t="e">
        <f t="shared" si="134"/>
        <v>#NUM!</v>
      </c>
      <c r="GE134" s="60">
        <f ca="1">AVERAGE(OFFSET($GD$3,0,0,'Données projet'!$E$17+1,1))-AVERAGE(OFFSET($H$3,0,0,'Données projet'!$E$17+1,1))</f>
        <v>445.81166342116865</v>
      </c>
      <c r="GF134" s="60">
        <f t="shared" si="158"/>
        <v>230.82970731138215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5.6843418860808015E-14</v>
      </c>
      <c r="GV134" s="18">
        <f>GU134*VLOOKUP('Données projet'!$B$18,Paramètres!$A$1:$I$89,3,0)*VLOOKUP('Données projet'!$B$18,Paramètres!$A$1:$I$89,5,0)</f>
        <v>4.4337866711430253E-14</v>
      </c>
      <c r="GW134" s="14">
        <f t="shared" si="159"/>
        <v>7.3222115536967035E-13</v>
      </c>
      <c r="GX134" s="22">
        <f t="shared" si="136"/>
        <v>1.3525069634579169E-12</v>
      </c>
      <c r="GY134" s="60">
        <f t="shared" si="137"/>
        <v>293.33333333333468</v>
      </c>
      <c r="GZ134" s="60">
        <f ca="1">AVERAGE(OFFSET($GY$3,0,0,'Données projet'!$E$18+1,1))-AVERAGE(OFFSET($H$3,0,0,'Données projet'!$E$18+1,1))</f>
        <v>289.19475369871481</v>
      </c>
      <c r="HA134" s="60">
        <f t="shared" si="160"/>
        <v>283.48738729114024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projet'!$B$18,Paramètres!$A$1:$I$89,3,0)*0.475*44/12</f>
        <v>0</v>
      </c>
      <c r="HH134" s="23">
        <f>EXP(-LN(2)/25)*HH133+(1-EXP(-LN(2)/25))/(LN(2)/25)*Calculateur!HC134*Calculateur!HE134*VLOOKUP('Données projet'!$B$18,Paramètres!$A$1:$I$89,3,0)*0.475*44/12</f>
        <v>0</v>
      </c>
      <c r="HI134" s="23">
        <f>EXP(-LN(2)/2)*HI133+(1-EXP(-LN(2)/2))/(LN(2)/2)*HC134*HF134*VLOOKUP('Données projet'!$B$18,Paramètres!$A$1:$I$89,3,0)*0.475*44/12</f>
        <v>0</v>
      </c>
      <c r="HJ134" s="24">
        <f t="shared" si="138"/>
        <v>0</v>
      </c>
    </row>
    <row r="135" spans="1:218" s="5" customFormat="1" x14ac:dyDescent="0.3">
      <c r="A135" s="11">
        <f t="shared" si="139"/>
        <v>132</v>
      </c>
      <c r="B135" s="75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8">
        <f t="shared" si="110"/>
        <v>256.66666666666669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</v>
      </c>
      <c r="N135" s="14">
        <f>IF('Données projet'!$A$36&gt;35,N134+M135-V134,IF(A135&lt;'Données projet'!$A$36,$K$205^A135,IF(A135='Données projet'!$A$36,'Données projet'!$B$36,N134+M135-V134)))</f>
        <v>288.99999999999949</v>
      </c>
      <c r="O135" s="14">
        <f>N135*VLOOKUP('Données projet'!$B$9,Paramètres!$A$1:$I$89,3,0)*VLOOKUP('Données projet'!$B$9,Paramètres!$A$1:$I$89,5,0)</f>
        <v>279.52079999999955</v>
      </c>
      <c r="P135" s="14">
        <f t="shared" si="141"/>
        <v>66.865730052421526</v>
      </c>
      <c r="Q135" s="22">
        <f t="shared" si="108"/>
        <v>603.28987317463339</v>
      </c>
      <c r="R135" s="60">
        <f t="shared" si="109"/>
        <v>896.62320650796664</v>
      </c>
      <c r="S135" s="60">
        <f ca="1">AVERAGE(OFFSET($R$3,0,0,'Données projet'!$E$9+1,1))-AVERAGE(OFFSET($H$3,0,0,'Données projet'!$E$9+1,1))</f>
        <v>456.86147223520601</v>
      </c>
      <c r="T135" s="60">
        <f t="shared" si="142"/>
        <v>244.45149244446094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2.5579538487363607E-13</v>
      </c>
      <c r="AJ135" s="14">
        <f>AI135*VLOOKUP('Données projet'!$B$10,Paramètres!$A$1:$I$89,3,0)*VLOOKUP('Données projet'!$B$10,Paramètres!$A$1:$I$89,5,0)</f>
        <v>1.6759713616920635E-13</v>
      </c>
      <c r="AK135" s="14">
        <f t="shared" si="143"/>
        <v>2.3709043131075133E-12</v>
      </c>
      <c r="AL135" s="22">
        <f t="shared" si="112"/>
        <v>4.4212233574902864E-12</v>
      </c>
      <c r="AM135" s="60">
        <f t="shared" si="113"/>
        <v>293.33333333333775</v>
      </c>
      <c r="AN135" s="60">
        <f ca="1">AVERAGE(OFFSET($AM$3,0,0,'Données projet'!$E$10+1,1))-AVERAGE(OFFSET($H$3,0,0,'Données projet'!$E$10+1,1))</f>
        <v>170.79567854714986</v>
      </c>
      <c r="AO135" s="60">
        <f t="shared" si="144"/>
        <v>155.92788004111191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-1.1368683772161603E-13</v>
      </c>
      <c r="BE135" s="14">
        <f>BD135*VLOOKUP('Données projet'!$B$11,Paramètres!$A$1:$I$89,3,0)*VLOOKUP('Données projet'!$B$11,Paramètres!$A$1:$I$89,5,0)</f>
        <v>-9.2222762759774927E-14</v>
      </c>
      <c r="BF135" s="14" t="e">
        <f t="shared" si="145"/>
        <v>#NUM!</v>
      </c>
      <c r="BG135" s="22" t="e">
        <f t="shared" si="115"/>
        <v>#NUM!</v>
      </c>
      <c r="BH135" s="60" t="e">
        <f t="shared" si="116"/>
        <v>#NUM!</v>
      </c>
      <c r="BI135" s="60">
        <f ca="1">AVERAGE(OFFSET($BH$3,0,0,'Données projet'!$E$11+1,1))-AVERAGE(OFFSET($H$3,0,0,'Données projet'!$E$11+1,1))</f>
        <v>256.19915261735281</v>
      </c>
      <c r="BJ135" s="60">
        <f t="shared" si="146"/>
        <v>297.47246687305056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-5.6843418860808015E-14</v>
      </c>
      <c r="BZ135" s="14">
        <f>BY135*VLOOKUP('Données projet'!$B$12,Paramètres!$A$1:$I$89,3,0)*VLOOKUP('Données projet'!$B$12,Paramètres!$A$1:$I$89,5,0)</f>
        <v>-5.4092197387944907E-14</v>
      </c>
      <c r="CA135" s="14" t="e">
        <f t="shared" si="147"/>
        <v>#NUM!</v>
      </c>
      <c r="CB135" s="22" t="e">
        <f t="shared" si="118"/>
        <v>#NUM!</v>
      </c>
      <c r="CC135" s="60" t="e">
        <f t="shared" si="119"/>
        <v>#NUM!</v>
      </c>
      <c r="CD135" s="60">
        <f ca="1">AVERAGE(OFFSET($CC$3,0,0,'Données projet'!$E$12+1,1))-AVERAGE(OFFSET($H$3,0,0,'Données projet'!$E$12+1,1))</f>
        <v>353.53401919391234</v>
      </c>
      <c r="CE135" s="60">
        <f t="shared" si="148"/>
        <v>244.7141066773861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3</v>
      </c>
      <c r="CT135" s="13">
        <f>IF('Données projet'!$A$140&gt;35,CT134+CS135-DB134,IF(A135&lt;'Données projet'!$A$140,$CQ$205^A135,IF(A135='Données projet'!$A$140,'Données projet'!$B$140,CT134+CS135-DB134)))</f>
        <v>288.99999999999949</v>
      </c>
      <c r="CU135" s="18">
        <f>CT135*VLOOKUP('Données projet'!$B$13,Paramètres!$A$1:$I$89,3,0)*VLOOKUP('Données projet'!$B$13,Paramètres!$A$1:$I$89,5,0)</f>
        <v>243.45359999999962</v>
      </c>
      <c r="CV135" s="14">
        <f t="shared" si="149"/>
        <v>59.18197034306521</v>
      </c>
      <c r="CW135" s="22">
        <f t="shared" si="121"/>
        <v>527.09028501417129</v>
      </c>
      <c r="CX135" s="60">
        <f t="shared" si="122"/>
        <v>820.42361834750454</v>
      </c>
      <c r="CY135" s="60">
        <f ca="1">AVERAGE(OFFSET($CX$3,0,0,'Données projet'!$E$13+1,1))-AVERAGE(OFFSET($H$3,0,0,'Données projet'!$E$13+1,1))</f>
        <v>403.33327536410098</v>
      </c>
      <c r="CZ135" s="60">
        <f t="shared" si="150"/>
        <v>218.26721063098552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3.4106051316484809E-13</v>
      </c>
      <c r="DP135" s="18">
        <f>DO135*VLOOKUP('Données projet'!$B$14,Paramètres!$A$1:$I$89,3,0)*VLOOKUP('Données projet'!$B$14,Paramètres!$A$1:$I$89,5,0)</f>
        <v>2.7134774427395314E-13</v>
      </c>
      <c r="DQ135" s="14">
        <f t="shared" si="151"/>
        <v>3.6292411711343559E-12</v>
      </c>
      <c r="DR135" s="22">
        <f t="shared" si="124"/>
        <v>6.7935256943361388E-12</v>
      </c>
      <c r="DS135" s="60">
        <f t="shared" si="125"/>
        <v>293.33333333334014</v>
      </c>
      <c r="DT135" s="60">
        <f ca="1">AVERAGE(OFFSET($DS$3,0,0,'Données projet'!$E$14+1,1))-AVERAGE(OFFSET($H$3,0,0,'Données projet'!$E$14+1,1))</f>
        <v>317.13087551964747</v>
      </c>
      <c r="DU135" s="60">
        <f t="shared" si="152"/>
        <v>293.43300041793185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1.7053025658242404E-13</v>
      </c>
      <c r="EK135" s="18">
        <f>EJ135*VLOOKUP('Données projet'!$B$15,Paramètres!$A$1:$I$89,3,0)*VLOOKUP('Données projet'!$B$15,Paramètres!$A$1:$I$89,5,0)</f>
        <v>1.3567387213697657E-13</v>
      </c>
      <c r="EL135" s="14">
        <f t="shared" si="153"/>
        <v>1.9670967679808581E-12</v>
      </c>
      <c r="EM135" s="22">
        <f t="shared" si="127"/>
        <v>3.6623255315385623E-12</v>
      </c>
      <c r="EN135" s="60">
        <f t="shared" si="128"/>
        <v>293.33333333333695</v>
      </c>
      <c r="EO135" s="60">
        <f ca="1">AVERAGE(OFFSET($EN$3,0,0,'Données projet'!$E$15+1,1))-AVERAGE(OFFSET($H$3,0,0,'Données projet'!$E$15+1,1))</f>
        <v>253.03289960511904</v>
      </c>
      <c r="EP135" s="60">
        <f t="shared" si="154"/>
        <v>236.85088713056018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1.7053025658242404E-13</v>
      </c>
      <c r="FF135" s="18">
        <f>FE135*VLOOKUP('Données projet'!$B$16,Paramètres!$A$1:$I$89,3,0)*VLOOKUP('Données projet'!$B$16,Paramètres!$A$1:$I$89,5,0)</f>
        <v>1.4897523215040567E-13</v>
      </c>
      <c r="FG135" s="14">
        <f t="shared" si="155"/>
        <v>2.136562777003313E-12</v>
      </c>
      <c r="FH135" s="22">
        <f t="shared" si="130"/>
        <v>3.9806453659427267E-12</v>
      </c>
      <c r="FI135" s="60">
        <f t="shared" si="131"/>
        <v>293.33333333333729</v>
      </c>
      <c r="FJ135" s="60">
        <f ca="1">AVERAGE(OFFSET($FI$3,0,0,'Données projet'!$E$16+1,1))-AVERAGE(OFFSET($H$3,0,0,'Données projet'!$E$16+1,1))</f>
        <v>274.38315511766132</v>
      </c>
      <c r="FK135" s="60">
        <f t="shared" si="156"/>
        <v>255.96663040027175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-1.1368683772161603E-13</v>
      </c>
      <c r="GA135" s="18">
        <f>FZ135*VLOOKUP('Données projet'!$B$17,Paramètres!$A$1:$I$89,3,0)*VLOOKUP('Données projet'!$B$17,Paramètres!$A$1:$I$89,5,0)</f>
        <v>-9.7543306765146564E-14</v>
      </c>
      <c r="GB135" s="14" t="e">
        <f t="shared" si="157"/>
        <v>#NUM!</v>
      </c>
      <c r="GC135" s="22" t="e">
        <f t="shared" si="133"/>
        <v>#NUM!</v>
      </c>
      <c r="GD135" s="60" t="e">
        <f t="shared" si="134"/>
        <v>#NUM!</v>
      </c>
      <c r="GE135" s="60">
        <f ca="1">AVERAGE(OFFSET($GD$3,0,0,'Données projet'!$E$17+1,1))-AVERAGE(OFFSET($H$3,0,0,'Données projet'!$E$17+1,1))</f>
        <v>445.81166342116865</v>
      </c>
      <c r="GF135" s="60">
        <f t="shared" si="158"/>
        <v>230.82970731138215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5.6843418860808015E-14</v>
      </c>
      <c r="GV135" s="18">
        <f>GU135*VLOOKUP('Données projet'!$B$18,Paramètres!$A$1:$I$89,3,0)*VLOOKUP('Données projet'!$B$18,Paramètres!$A$1:$I$89,5,0)</f>
        <v>4.4337866711430253E-14</v>
      </c>
      <c r="GW135" s="14">
        <f t="shared" si="159"/>
        <v>7.3222115536967035E-13</v>
      </c>
      <c r="GX135" s="22">
        <f t="shared" si="136"/>
        <v>1.3525069634579169E-12</v>
      </c>
      <c r="GY135" s="60">
        <f t="shared" si="137"/>
        <v>293.33333333333468</v>
      </c>
      <c r="GZ135" s="60">
        <f ca="1">AVERAGE(OFFSET($GY$3,0,0,'Données projet'!$E$18+1,1))-AVERAGE(OFFSET($H$3,0,0,'Données projet'!$E$18+1,1))</f>
        <v>289.19475369871481</v>
      </c>
      <c r="HA135" s="60">
        <f t="shared" si="160"/>
        <v>283.48738729114024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projet'!$B$18,Paramètres!$A$1:$I$89,3,0)*0.475*44/12</f>
        <v>0</v>
      </c>
      <c r="HH135" s="23">
        <f>EXP(-LN(2)/25)*HH134+(1-EXP(-LN(2)/25))/(LN(2)/25)*Calculateur!HC135*Calculateur!HE135*VLOOKUP('Données projet'!$B$18,Paramètres!$A$1:$I$89,3,0)*0.475*44/12</f>
        <v>0</v>
      </c>
      <c r="HI135" s="23">
        <f>EXP(-LN(2)/2)*HI134+(1-EXP(-LN(2)/2))/(LN(2)/2)*HC135*HF135*VLOOKUP('Données projet'!$B$18,Paramètres!$A$1:$I$89,3,0)*0.475*44/12</f>
        <v>0</v>
      </c>
      <c r="HJ135" s="24">
        <f t="shared" si="138"/>
        <v>0</v>
      </c>
    </row>
    <row r="136" spans="1:218" s="5" customFormat="1" x14ac:dyDescent="0.3">
      <c r="A136" s="11">
        <f t="shared" si="139"/>
        <v>133</v>
      </c>
      <c r="B136" s="75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8">
        <f t="shared" si="110"/>
        <v>256.66666666666669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</v>
      </c>
      <c r="N136" s="14">
        <f>IF('Données projet'!$A$36&gt;35,N135+M136-V135,IF(A136&lt;'Données projet'!$A$36,$K$205^A136,IF(A136='Données projet'!$A$36,'Données projet'!$B$36,N135+M136-V135)))</f>
        <v>291.99999999999949</v>
      </c>
      <c r="O136" s="14">
        <f>N136*VLOOKUP('Données projet'!$B$9,Paramètres!$A$1:$I$89,3,0)*VLOOKUP('Données projet'!$B$9,Paramètres!$A$1:$I$89,5,0)</f>
        <v>282.42239999999953</v>
      </c>
      <c r="P136" s="14">
        <f t="shared" si="141"/>
        <v>67.478674703106122</v>
      </c>
      <c r="Q136" s="22">
        <f t="shared" si="108"/>
        <v>609.41103844124234</v>
      </c>
      <c r="R136" s="60">
        <f t="shared" si="109"/>
        <v>902.74437177457571</v>
      </c>
      <c r="S136" s="60">
        <f ca="1">AVERAGE(OFFSET($R$3,0,0,'Données projet'!$E$9+1,1))-AVERAGE(OFFSET($H$3,0,0,'Données projet'!$E$9+1,1))</f>
        <v>456.86147223520601</v>
      </c>
      <c r="T136" s="60">
        <f t="shared" si="142"/>
        <v>244.45149244446094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2.5579538487363607E-13</v>
      </c>
      <c r="AJ136" s="14">
        <f>AI136*VLOOKUP('Données projet'!$B$10,Paramètres!$A$1:$I$89,3,0)*VLOOKUP('Données projet'!$B$10,Paramètres!$A$1:$I$89,5,0)</f>
        <v>1.6759713616920635E-13</v>
      </c>
      <c r="AK136" s="14">
        <f t="shared" si="143"/>
        <v>2.3709043131075133E-12</v>
      </c>
      <c r="AL136" s="22">
        <f t="shared" si="112"/>
        <v>4.4212233574902864E-12</v>
      </c>
      <c r="AM136" s="60">
        <f t="shared" si="113"/>
        <v>293.33333333333775</v>
      </c>
      <c r="AN136" s="60">
        <f ca="1">AVERAGE(OFFSET($AM$3,0,0,'Données projet'!$E$10+1,1))-AVERAGE(OFFSET($H$3,0,0,'Données projet'!$E$10+1,1))</f>
        <v>170.79567854714986</v>
      </c>
      <c r="AO136" s="60">
        <f t="shared" si="144"/>
        <v>155.92788004111191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-1.1368683772161603E-13</v>
      </c>
      <c r="BE136" s="14">
        <f>BD136*VLOOKUP('Données projet'!$B$11,Paramètres!$A$1:$I$89,3,0)*VLOOKUP('Données projet'!$B$11,Paramètres!$A$1:$I$89,5,0)</f>
        <v>-9.2222762759774927E-14</v>
      </c>
      <c r="BF136" s="14" t="e">
        <f t="shared" si="145"/>
        <v>#NUM!</v>
      </c>
      <c r="BG136" s="22" t="e">
        <f t="shared" si="115"/>
        <v>#NUM!</v>
      </c>
      <c r="BH136" s="60" t="e">
        <f t="shared" si="116"/>
        <v>#NUM!</v>
      </c>
      <c r="BI136" s="60">
        <f ca="1">AVERAGE(OFFSET($BH$3,0,0,'Données projet'!$E$11+1,1))-AVERAGE(OFFSET($H$3,0,0,'Données projet'!$E$11+1,1))</f>
        <v>256.19915261735281</v>
      </c>
      <c r="BJ136" s="60">
        <f t="shared" si="146"/>
        <v>297.47246687305056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-5.6843418860808015E-14</v>
      </c>
      <c r="BZ136" s="14">
        <f>BY136*VLOOKUP('Données projet'!$B$12,Paramètres!$A$1:$I$89,3,0)*VLOOKUP('Données projet'!$B$12,Paramètres!$A$1:$I$89,5,0)</f>
        <v>-5.4092197387944907E-14</v>
      </c>
      <c r="CA136" s="14" t="e">
        <f t="shared" si="147"/>
        <v>#NUM!</v>
      </c>
      <c r="CB136" s="22" t="e">
        <f t="shared" si="118"/>
        <v>#NUM!</v>
      </c>
      <c r="CC136" s="60" t="e">
        <f t="shared" si="119"/>
        <v>#NUM!</v>
      </c>
      <c r="CD136" s="60">
        <f ca="1">AVERAGE(OFFSET($CC$3,0,0,'Données projet'!$E$12+1,1))-AVERAGE(OFFSET($H$3,0,0,'Données projet'!$E$12+1,1))</f>
        <v>353.53401919391234</v>
      </c>
      <c r="CE136" s="60">
        <f t="shared" si="148"/>
        <v>244.7141066773861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3</v>
      </c>
      <c r="CT136" s="13">
        <f>IF('Données projet'!$A$140&gt;35,CT135+CS136-DB135,IF(A136&lt;'Données projet'!$A$140,$CQ$205^A136,IF(A136='Données projet'!$A$140,'Données projet'!$B$140,CT135+CS136-DB135)))</f>
        <v>291.99999999999949</v>
      </c>
      <c r="CU136" s="18">
        <f>CT136*VLOOKUP('Données projet'!$B$13,Paramètres!$A$1:$I$89,3,0)*VLOOKUP('Données projet'!$B$13,Paramètres!$A$1:$I$89,5,0)</f>
        <v>245.98079999999956</v>
      </c>
      <c r="CV136" s="14">
        <f t="shared" si="149"/>
        <v>59.724479519444756</v>
      </c>
      <c r="CW136" s="22">
        <f t="shared" si="121"/>
        <v>532.43669516303225</v>
      </c>
      <c r="CX136" s="60">
        <f t="shared" si="122"/>
        <v>825.77002849636551</v>
      </c>
      <c r="CY136" s="60">
        <f ca="1">AVERAGE(OFFSET($CX$3,0,0,'Données projet'!$E$13+1,1))-AVERAGE(OFFSET($H$3,0,0,'Données projet'!$E$13+1,1))</f>
        <v>403.33327536410098</v>
      </c>
      <c r="CZ136" s="60">
        <f t="shared" si="150"/>
        <v>218.26721063098552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3.4106051316484809E-13</v>
      </c>
      <c r="DP136" s="18">
        <f>DO136*VLOOKUP('Données projet'!$B$14,Paramètres!$A$1:$I$89,3,0)*VLOOKUP('Données projet'!$B$14,Paramètres!$A$1:$I$89,5,0)</f>
        <v>2.7134774427395314E-13</v>
      </c>
      <c r="DQ136" s="14">
        <f t="shared" si="151"/>
        <v>3.6292411711343559E-12</v>
      </c>
      <c r="DR136" s="22">
        <f t="shared" si="124"/>
        <v>6.7935256943361388E-12</v>
      </c>
      <c r="DS136" s="60">
        <f t="shared" si="125"/>
        <v>293.33333333334014</v>
      </c>
      <c r="DT136" s="60">
        <f ca="1">AVERAGE(OFFSET($DS$3,0,0,'Données projet'!$E$14+1,1))-AVERAGE(OFFSET($H$3,0,0,'Données projet'!$E$14+1,1))</f>
        <v>317.13087551964747</v>
      </c>
      <c r="DU136" s="60">
        <f t="shared" si="152"/>
        <v>293.43300041793185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1.7053025658242404E-13</v>
      </c>
      <c r="EK136" s="18">
        <f>EJ136*VLOOKUP('Données projet'!$B$15,Paramètres!$A$1:$I$89,3,0)*VLOOKUP('Données projet'!$B$15,Paramètres!$A$1:$I$89,5,0)</f>
        <v>1.3567387213697657E-13</v>
      </c>
      <c r="EL136" s="14">
        <f t="shared" si="153"/>
        <v>1.9670967679808581E-12</v>
      </c>
      <c r="EM136" s="22">
        <f t="shared" si="127"/>
        <v>3.6623255315385623E-12</v>
      </c>
      <c r="EN136" s="60">
        <f t="shared" si="128"/>
        <v>293.33333333333695</v>
      </c>
      <c r="EO136" s="60">
        <f ca="1">AVERAGE(OFFSET($EN$3,0,0,'Données projet'!$E$15+1,1))-AVERAGE(OFFSET($H$3,0,0,'Données projet'!$E$15+1,1))</f>
        <v>253.03289960511904</v>
      </c>
      <c r="EP136" s="60">
        <f t="shared" si="154"/>
        <v>236.85088713056018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1.7053025658242404E-13</v>
      </c>
      <c r="FF136" s="18">
        <f>FE136*VLOOKUP('Données projet'!$B$16,Paramètres!$A$1:$I$89,3,0)*VLOOKUP('Données projet'!$B$16,Paramètres!$A$1:$I$89,5,0)</f>
        <v>1.4897523215040567E-13</v>
      </c>
      <c r="FG136" s="14">
        <f t="shared" si="155"/>
        <v>2.136562777003313E-12</v>
      </c>
      <c r="FH136" s="22">
        <f t="shared" si="130"/>
        <v>3.9806453659427267E-12</v>
      </c>
      <c r="FI136" s="60">
        <f t="shared" si="131"/>
        <v>293.33333333333729</v>
      </c>
      <c r="FJ136" s="60">
        <f ca="1">AVERAGE(OFFSET($FI$3,0,0,'Données projet'!$E$16+1,1))-AVERAGE(OFFSET($H$3,0,0,'Données projet'!$E$16+1,1))</f>
        <v>274.38315511766132</v>
      </c>
      <c r="FK136" s="60">
        <f t="shared" si="156"/>
        <v>255.96663040027175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-1.1368683772161603E-13</v>
      </c>
      <c r="GA136" s="18">
        <f>FZ136*VLOOKUP('Données projet'!$B$17,Paramètres!$A$1:$I$89,3,0)*VLOOKUP('Données projet'!$B$17,Paramètres!$A$1:$I$89,5,0)</f>
        <v>-9.7543306765146564E-14</v>
      </c>
      <c r="GB136" s="14" t="e">
        <f t="shared" si="157"/>
        <v>#NUM!</v>
      </c>
      <c r="GC136" s="22" t="e">
        <f t="shared" si="133"/>
        <v>#NUM!</v>
      </c>
      <c r="GD136" s="60" t="e">
        <f t="shared" si="134"/>
        <v>#NUM!</v>
      </c>
      <c r="GE136" s="60">
        <f ca="1">AVERAGE(OFFSET($GD$3,0,0,'Données projet'!$E$17+1,1))-AVERAGE(OFFSET($H$3,0,0,'Données projet'!$E$17+1,1))</f>
        <v>445.81166342116865</v>
      </c>
      <c r="GF136" s="60">
        <f t="shared" si="158"/>
        <v>230.82970731138215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5.6843418860808015E-14</v>
      </c>
      <c r="GV136" s="18">
        <f>GU136*VLOOKUP('Données projet'!$B$18,Paramètres!$A$1:$I$89,3,0)*VLOOKUP('Données projet'!$B$18,Paramètres!$A$1:$I$89,5,0)</f>
        <v>4.4337866711430253E-14</v>
      </c>
      <c r="GW136" s="14">
        <f t="shared" si="159"/>
        <v>7.3222115536967035E-13</v>
      </c>
      <c r="GX136" s="22">
        <f t="shared" si="136"/>
        <v>1.3525069634579169E-12</v>
      </c>
      <c r="GY136" s="60">
        <f t="shared" si="137"/>
        <v>293.33333333333468</v>
      </c>
      <c r="GZ136" s="60">
        <f ca="1">AVERAGE(OFFSET($GY$3,0,0,'Données projet'!$E$18+1,1))-AVERAGE(OFFSET($H$3,0,0,'Données projet'!$E$18+1,1))</f>
        <v>289.19475369871481</v>
      </c>
      <c r="HA136" s="60">
        <f t="shared" si="160"/>
        <v>283.48738729114024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projet'!$B$18,Paramètres!$A$1:$I$89,3,0)*0.475*44/12</f>
        <v>0</v>
      </c>
      <c r="HH136" s="23">
        <f>EXP(-LN(2)/25)*HH135+(1-EXP(-LN(2)/25))/(LN(2)/25)*Calculateur!HC136*Calculateur!HE136*VLOOKUP('Données projet'!$B$18,Paramètres!$A$1:$I$89,3,0)*0.475*44/12</f>
        <v>0</v>
      </c>
      <c r="HI136" s="23">
        <f>EXP(-LN(2)/2)*HI135+(1-EXP(-LN(2)/2))/(LN(2)/2)*HC136*HF136*VLOOKUP('Données projet'!$B$18,Paramètres!$A$1:$I$89,3,0)*0.475*44/12</f>
        <v>0</v>
      </c>
      <c r="HJ136" s="24">
        <f t="shared" si="138"/>
        <v>0</v>
      </c>
    </row>
    <row r="137" spans="1:218" s="5" customFormat="1" x14ac:dyDescent="0.3">
      <c r="A137" s="11">
        <f t="shared" si="139"/>
        <v>134</v>
      </c>
      <c r="B137" s="75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8">
        <f t="shared" si="110"/>
        <v>256.66666666666669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</v>
      </c>
      <c r="N137" s="14">
        <f>IF('Données projet'!$A$36&gt;35,N136+M137-V136,IF(A137&lt;'Données projet'!$A$36,$K$205^A137,IF(A137='Données projet'!$A$36,'Données projet'!$B$36,N136+M137-V136)))</f>
        <v>294.99999999999949</v>
      </c>
      <c r="O137" s="14">
        <f>N137*VLOOKUP('Données projet'!$B$9,Paramètres!$A$1:$I$89,3,0)*VLOOKUP('Données projet'!$B$9,Paramètres!$A$1:$I$89,5,0)</f>
        <v>285.32399999999956</v>
      </c>
      <c r="P137" s="14">
        <f t="shared" si="141"/>
        <v>68.090886763658133</v>
      </c>
      <c r="Q137" s="22">
        <f t="shared" si="108"/>
        <v>615.53092778003713</v>
      </c>
      <c r="R137" s="60">
        <f t="shared" si="109"/>
        <v>908.8642611133705</v>
      </c>
      <c r="S137" s="60">
        <f ca="1">AVERAGE(OFFSET($R$3,0,0,'Données projet'!$E$9+1,1))-AVERAGE(OFFSET($H$3,0,0,'Données projet'!$E$9+1,1))</f>
        <v>456.86147223520601</v>
      </c>
      <c r="T137" s="60">
        <f t="shared" si="142"/>
        <v>244.45149244446094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2.5579538487363607E-13</v>
      </c>
      <c r="AJ137" s="14">
        <f>AI137*VLOOKUP('Données projet'!$B$10,Paramètres!$A$1:$I$89,3,0)*VLOOKUP('Données projet'!$B$10,Paramètres!$A$1:$I$89,5,0)</f>
        <v>1.6759713616920635E-13</v>
      </c>
      <c r="AK137" s="14">
        <f t="shared" si="143"/>
        <v>2.3709043131075133E-12</v>
      </c>
      <c r="AL137" s="22">
        <f t="shared" si="112"/>
        <v>4.4212233574902864E-12</v>
      </c>
      <c r="AM137" s="60">
        <f t="shared" si="113"/>
        <v>293.33333333333775</v>
      </c>
      <c r="AN137" s="60">
        <f ca="1">AVERAGE(OFFSET($AM$3,0,0,'Données projet'!$E$10+1,1))-AVERAGE(OFFSET($H$3,0,0,'Données projet'!$E$10+1,1))</f>
        <v>170.79567854714986</v>
      </c>
      <c r="AO137" s="60">
        <f t="shared" si="144"/>
        <v>155.92788004111191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-1.1368683772161603E-13</v>
      </c>
      <c r="BE137" s="14">
        <f>BD137*VLOOKUP('Données projet'!$B$11,Paramètres!$A$1:$I$89,3,0)*VLOOKUP('Données projet'!$B$11,Paramètres!$A$1:$I$89,5,0)</f>
        <v>-9.2222762759774927E-14</v>
      </c>
      <c r="BF137" s="14" t="e">
        <f t="shared" si="145"/>
        <v>#NUM!</v>
      </c>
      <c r="BG137" s="22" t="e">
        <f t="shared" si="115"/>
        <v>#NUM!</v>
      </c>
      <c r="BH137" s="60" t="e">
        <f t="shared" si="116"/>
        <v>#NUM!</v>
      </c>
      <c r="BI137" s="60">
        <f ca="1">AVERAGE(OFFSET($BH$3,0,0,'Données projet'!$E$11+1,1))-AVERAGE(OFFSET($H$3,0,0,'Données projet'!$E$11+1,1))</f>
        <v>256.19915261735281</v>
      </c>
      <c r="BJ137" s="60">
        <f t="shared" si="146"/>
        <v>297.47246687305056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-5.6843418860808015E-14</v>
      </c>
      <c r="BZ137" s="14">
        <f>BY137*VLOOKUP('Données projet'!$B$12,Paramètres!$A$1:$I$89,3,0)*VLOOKUP('Données projet'!$B$12,Paramètres!$A$1:$I$89,5,0)</f>
        <v>-5.4092197387944907E-14</v>
      </c>
      <c r="CA137" s="14" t="e">
        <f t="shared" si="147"/>
        <v>#NUM!</v>
      </c>
      <c r="CB137" s="22" t="e">
        <f t="shared" si="118"/>
        <v>#NUM!</v>
      </c>
      <c r="CC137" s="60" t="e">
        <f t="shared" si="119"/>
        <v>#NUM!</v>
      </c>
      <c r="CD137" s="60">
        <f ca="1">AVERAGE(OFFSET($CC$3,0,0,'Données projet'!$E$12+1,1))-AVERAGE(OFFSET($H$3,0,0,'Données projet'!$E$12+1,1))</f>
        <v>353.53401919391234</v>
      </c>
      <c r="CE137" s="60">
        <f t="shared" si="148"/>
        <v>244.7141066773861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3</v>
      </c>
      <c r="CT137" s="13">
        <f>IF('Données projet'!$A$140&gt;35,CT136+CS137-DB136,IF(A137&lt;'Données projet'!$A$140,$CQ$205^A137,IF(A137='Données projet'!$A$140,'Données projet'!$B$140,CT136+CS137-DB136)))</f>
        <v>294.99999999999949</v>
      </c>
      <c r="CU137" s="18">
        <f>CT137*VLOOKUP('Données projet'!$B$13,Paramètres!$A$1:$I$89,3,0)*VLOOKUP('Données projet'!$B$13,Paramètres!$A$1:$I$89,5,0)</f>
        <v>248.50799999999958</v>
      </c>
      <c r="CV137" s="14">
        <f t="shared" si="149"/>
        <v>60.266340290019563</v>
      </c>
      <c r="CW137" s="22">
        <f t="shared" si="121"/>
        <v>537.78197600511669</v>
      </c>
      <c r="CX137" s="60">
        <f t="shared" si="122"/>
        <v>831.11530933845006</v>
      </c>
      <c r="CY137" s="60">
        <f ca="1">AVERAGE(OFFSET($CX$3,0,0,'Données projet'!$E$13+1,1))-AVERAGE(OFFSET($H$3,0,0,'Données projet'!$E$13+1,1))</f>
        <v>403.33327536410098</v>
      </c>
      <c r="CZ137" s="60">
        <f t="shared" si="150"/>
        <v>218.26721063098552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3.4106051316484809E-13</v>
      </c>
      <c r="DP137" s="18">
        <f>DO137*VLOOKUP('Données projet'!$B$14,Paramètres!$A$1:$I$89,3,0)*VLOOKUP('Données projet'!$B$14,Paramètres!$A$1:$I$89,5,0)</f>
        <v>2.7134774427395314E-13</v>
      </c>
      <c r="DQ137" s="14">
        <f t="shared" si="151"/>
        <v>3.6292411711343559E-12</v>
      </c>
      <c r="DR137" s="22">
        <f t="shared" si="124"/>
        <v>6.7935256943361388E-12</v>
      </c>
      <c r="DS137" s="60">
        <f t="shared" si="125"/>
        <v>293.33333333334014</v>
      </c>
      <c r="DT137" s="60">
        <f ca="1">AVERAGE(OFFSET($DS$3,0,0,'Données projet'!$E$14+1,1))-AVERAGE(OFFSET($H$3,0,0,'Données projet'!$E$14+1,1))</f>
        <v>317.13087551964747</v>
      </c>
      <c r="DU137" s="60">
        <f t="shared" si="152"/>
        <v>293.43300041793185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1.7053025658242404E-13</v>
      </c>
      <c r="EK137" s="18">
        <f>EJ137*VLOOKUP('Données projet'!$B$15,Paramètres!$A$1:$I$89,3,0)*VLOOKUP('Données projet'!$B$15,Paramètres!$A$1:$I$89,5,0)</f>
        <v>1.3567387213697657E-13</v>
      </c>
      <c r="EL137" s="14">
        <f t="shared" si="153"/>
        <v>1.9670967679808581E-12</v>
      </c>
      <c r="EM137" s="22">
        <f t="shared" si="127"/>
        <v>3.6623255315385623E-12</v>
      </c>
      <c r="EN137" s="60">
        <f t="shared" si="128"/>
        <v>293.33333333333695</v>
      </c>
      <c r="EO137" s="60">
        <f ca="1">AVERAGE(OFFSET($EN$3,0,0,'Données projet'!$E$15+1,1))-AVERAGE(OFFSET($H$3,0,0,'Données projet'!$E$15+1,1))</f>
        <v>253.03289960511904</v>
      </c>
      <c r="EP137" s="60">
        <f t="shared" si="154"/>
        <v>236.85088713056018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1.7053025658242404E-13</v>
      </c>
      <c r="FF137" s="18">
        <f>FE137*VLOOKUP('Données projet'!$B$16,Paramètres!$A$1:$I$89,3,0)*VLOOKUP('Données projet'!$B$16,Paramètres!$A$1:$I$89,5,0)</f>
        <v>1.4897523215040567E-13</v>
      </c>
      <c r="FG137" s="14">
        <f t="shared" si="155"/>
        <v>2.136562777003313E-12</v>
      </c>
      <c r="FH137" s="22">
        <f t="shared" si="130"/>
        <v>3.9806453659427267E-12</v>
      </c>
      <c r="FI137" s="60">
        <f t="shared" si="131"/>
        <v>293.33333333333729</v>
      </c>
      <c r="FJ137" s="60">
        <f ca="1">AVERAGE(OFFSET($FI$3,0,0,'Données projet'!$E$16+1,1))-AVERAGE(OFFSET($H$3,0,0,'Données projet'!$E$16+1,1))</f>
        <v>274.38315511766132</v>
      </c>
      <c r="FK137" s="60">
        <f t="shared" si="156"/>
        <v>255.96663040027175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-1.1368683772161603E-13</v>
      </c>
      <c r="GA137" s="18">
        <f>FZ137*VLOOKUP('Données projet'!$B$17,Paramètres!$A$1:$I$89,3,0)*VLOOKUP('Données projet'!$B$17,Paramètres!$A$1:$I$89,5,0)</f>
        <v>-9.7543306765146564E-14</v>
      </c>
      <c r="GB137" s="14" t="e">
        <f t="shared" si="157"/>
        <v>#NUM!</v>
      </c>
      <c r="GC137" s="22" t="e">
        <f t="shared" si="133"/>
        <v>#NUM!</v>
      </c>
      <c r="GD137" s="60" t="e">
        <f t="shared" si="134"/>
        <v>#NUM!</v>
      </c>
      <c r="GE137" s="60">
        <f ca="1">AVERAGE(OFFSET($GD$3,0,0,'Données projet'!$E$17+1,1))-AVERAGE(OFFSET($H$3,0,0,'Données projet'!$E$17+1,1))</f>
        <v>445.81166342116865</v>
      </c>
      <c r="GF137" s="60">
        <f t="shared" si="158"/>
        <v>230.82970731138215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5.6843418860808015E-14</v>
      </c>
      <c r="GV137" s="18">
        <f>GU137*VLOOKUP('Données projet'!$B$18,Paramètres!$A$1:$I$89,3,0)*VLOOKUP('Données projet'!$B$18,Paramètres!$A$1:$I$89,5,0)</f>
        <v>4.4337866711430253E-14</v>
      </c>
      <c r="GW137" s="14">
        <f t="shared" si="159"/>
        <v>7.3222115536967035E-13</v>
      </c>
      <c r="GX137" s="22">
        <f t="shared" si="136"/>
        <v>1.3525069634579169E-12</v>
      </c>
      <c r="GY137" s="60">
        <f t="shared" si="137"/>
        <v>293.33333333333468</v>
      </c>
      <c r="GZ137" s="60">
        <f ca="1">AVERAGE(OFFSET($GY$3,0,0,'Données projet'!$E$18+1,1))-AVERAGE(OFFSET($H$3,0,0,'Données projet'!$E$18+1,1))</f>
        <v>289.19475369871481</v>
      </c>
      <c r="HA137" s="60">
        <f t="shared" si="160"/>
        <v>283.48738729114024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projet'!$B$18,Paramètres!$A$1:$I$89,3,0)*0.475*44/12</f>
        <v>0</v>
      </c>
      <c r="HH137" s="23">
        <f>EXP(-LN(2)/25)*HH136+(1-EXP(-LN(2)/25))/(LN(2)/25)*Calculateur!HC137*Calculateur!HE137*VLOOKUP('Données projet'!$B$18,Paramètres!$A$1:$I$89,3,0)*0.475*44/12</f>
        <v>0</v>
      </c>
      <c r="HI137" s="23">
        <f>EXP(-LN(2)/2)*HI136+(1-EXP(-LN(2)/2))/(LN(2)/2)*HC137*HF137*VLOOKUP('Données projet'!$B$18,Paramètres!$A$1:$I$89,3,0)*0.475*44/12</f>
        <v>0</v>
      </c>
      <c r="HJ137" s="24">
        <f t="shared" si="138"/>
        <v>0</v>
      </c>
    </row>
    <row r="138" spans="1:218" s="5" customFormat="1" x14ac:dyDescent="0.3">
      <c r="A138" s="11">
        <f t="shared" si="139"/>
        <v>135</v>
      </c>
      <c r="B138" s="75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8">
        <f t="shared" si="110"/>
        <v>256.66666666666669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298</v>
      </c>
      <c r="L138" s="13">
        <f>VLOOKUP(A138,'Données projet'!$A$35:$I$55,9,0)</f>
        <v>3</v>
      </c>
      <c r="M138" s="13">
        <f t="array" ref="M138">INDEX(L:L,MIN(IF(ISNUMBER(L138:L334),ROW(L138:L334),"")))</f>
        <v>3</v>
      </c>
      <c r="N138" s="14">
        <f>IF('Données projet'!$A$36&gt;35,N137+M138-V137,IF(A138&lt;'Données projet'!$A$36,$K$205^A138,IF(A138='Données projet'!$A$36,'Données projet'!$B$36,N137+M138-V137)))</f>
        <v>297.99999999999949</v>
      </c>
      <c r="O138" s="14">
        <f>N138*VLOOKUP('Données projet'!$B$9,Paramètres!$A$1:$I$89,3,0)*VLOOKUP('Données projet'!$B$9,Paramètres!$A$1:$I$89,5,0)</f>
        <v>288.22559999999953</v>
      </c>
      <c r="P138" s="14">
        <f t="shared" si="141"/>
        <v>68.702374546701776</v>
      </c>
      <c r="Q138" s="22">
        <f t="shared" si="108"/>
        <v>621.64955566883805</v>
      </c>
      <c r="R138" s="60">
        <f t="shared" si="109"/>
        <v>914.98288900217131</v>
      </c>
      <c r="S138" s="60">
        <f ca="1">AVERAGE(OFFSET($R$3,0,0,'Données projet'!$E$9+1,1))-AVERAGE(OFFSET($H$3,0,0,'Données projet'!$E$9+1,1))</f>
        <v>456.86147223520601</v>
      </c>
      <c r="T138" s="60">
        <f t="shared" si="142"/>
        <v>244.45149244446094</v>
      </c>
      <c r="U138" s="16">
        <f>IF(ISNA(VLOOKUP(A138,'Données projet'!$A$35:$I$55,3,0)),0,VLOOKUP(A138,'Données projet'!$A$35:$I$55,3,0))</f>
        <v>12</v>
      </c>
      <c r="V138" s="16">
        <f>IF(ISNA(VLOOKUP(A138,'Données projet'!$A$35:$I$55,4,0)),0,VLOOKUP(A138,'Données projet'!$A$35:$I$55,4,0))</f>
        <v>29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2.5579538487363607E-13</v>
      </c>
      <c r="AJ138" s="14">
        <f>AI138*VLOOKUP('Données projet'!$B$10,Paramètres!$A$1:$I$89,3,0)*VLOOKUP('Données projet'!$B$10,Paramètres!$A$1:$I$89,5,0)</f>
        <v>1.6759713616920635E-13</v>
      </c>
      <c r="AK138" s="14">
        <f t="shared" si="143"/>
        <v>2.3709043131075133E-12</v>
      </c>
      <c r="AL138" s="22">
        <f t="shared" si="112"/>
        <v>4.4212233574902864E-12</v>
      </c>
      <c r="AM138" s="60">
        <f t="shared" si="113"/>
        <v>293.33333333333775</v>
      </c>
      <c r="AN138" s="60">
        <f ca="1">AVERAGE(OFFSET($AM$3,0,0,'Données projet'!$E$10+1,1))-AVERAGE(OFFSET($H$3,0,0,'Données projet'!$E$10+1,1))</f>
        <v>170.79567854714986</v>
      </c>
      <c r="AO138" s="60">
        <f t="shared" si="144"/>
        <v>155.92788004111191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-1.1368683772161603E-13</v>
      </c>
      <c r="BE138" s="14">
        <f>BD138*VLOOKUP('Données projet'!$B$11,Paramètres!$A$1:$I$89,3,0)*VLOOKUP('Données projet'!$B$11,Paramètres!$A$1:$I$89,5,0)</f>
        <v>-9.2222762759774927E-14</v>
      </c>
      <c r="BF138" s="14" t="e">
        <f t="shared" si="145"/>
        <v>#NUM!</v>
      </c>
      <c r="BG138" s="22" t="e">
        <f t="shared" si="115"/>
        <v>#NUM!</v>
      </c>
      <c r="BH138" s="60" t="e">
        <f t="shared" si="116"/>
        <v>#NUM!</v>
      </c>
      <c r="BI138" s="60">
        <f ca="1">AVERAGE(OFFSET($BH$3,0,0,'Données projet'!$E$11+1,1))-AVERAGE(OFFSET($H$3,0,0,'Données projet'!$E$11+1,1))</f>
        <v>256.19915261735281</v>
      </c>
      <c r="BJ138" s="60">
        <f t="shared" si="146"/>
        <v>297.47246687305056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-5.6843418860808015E-14</v>
      </c>
      <c r="BZ138" s="14">
        <f>BY138*VLOOKUP('Données projet'!$B$12,Paramètres!$A$1:$I$89,3,0)*VLOOKUP('Données projet'!$B$12,Paramètres!$A$1:$I$89,5,0)</f>
        <v>-5.4092197387944907E-14</v>
      </c>
      <c r="CA138" s="14" t="e">
        <f t="shared" si="147"/>
        <v>#NUM!</v>
      </c>
      <c r="CB138" s="22" t="e">
        <f t="shared" si="118"/>
        <v>#NUM!</v>
      </c>
      <c r="CC138" s="60" t="e">
        <f t="shared" si="119"/>
        <v>#NUM!</v>
      </c>
      <c r="CD138" s="60">
        <f ca="1">AVERAGE(OFFSET($CC$3,0,0,'Données projet'!$E$12+1,1))-AVERAGE(OFFSET($H$3,0,0,'Données projet'!$E$12+1,1))</f>
        <v>353.53401919391234</v>
      </c>
      <c r="CE138" s="60">
        <f t="shared" si="148"/>
        <v>244.7141066773861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>
        <f>VLOOKUP(A138,'Données projet'!$A$139:$I$159,2,0)</f>
        <v>298</v>
      </c>
      <c r="CR138" s="13">
        <f>VLOOKUP(A138,'Données projet'!$A$139:$I$159,9,0)</f>
        <v>3</v>
      </c>
      <c r="CS138" s="13">
        <f t="array" ref="CS138">INDEX(CR:CR,MIN(IF(ISNUMBER(CR138:CR334),ROW(CR138:CR334),"")))</f>
        <v>3</v>
      </c>
      <c r="CT138" s="13">
        <f>IF('Données projet'!$A$140&gt;35,CT137+CS138-DB137,IF(A138&lt;'Données projet'!$A$140,$CQ$205^A138,IF(A138='Données projet'!$A$140,'Données projet'!$B$140,CT137+CS138-DB137)))</f>
        <v>297.99999999999949</v>
      </c>
      <c r="CU138" s="18">
        <f>CT138*VLOOKUP('Données projet'!$B$13,Paramètres!$A$1:$I$89,3,0)*VLOOKUP('Données projet'!$B$13,Paramètres!$A$1:$I$89,5,0)</f>
        <v>251.03519999999958</v>
      </c>
      <c r="CV138" s="14">
        <f t="shared" si="149"/>
        <v>60.807560012183245</v>
      </c>
      <c r="CW138" s="22">
        <f t="shared" si="121"/>
        <v>543.12614035455169</v>
      </c>
      <c r="CX138" s="60">
        <f t="shared" si="122"/>
        <v>836.45947368788507</v>
      </c>
      <c r="CY138" s="60">
        <f ca="1">AVERAGE(OFFSET($CX$3,0,0,'Données projet'!$E$13+1,1))-AVERAGE(OFFSET($H$3,0,0,'Données projet'!$E$13+1,1))</f>
        <v>403.33327536410098</v>
      </c>
      <c r="CZ138" s="60">
        <f t="shared" si="150"/>
        <v>218.26721063098552</v>
      </c>
      <c r="DA138" s="16">
        <f>IF(ISNA(VLOOKUP(A138,'Données projet'!$A$139:$I$159,3,0)),0,VLOOKUP(A138,'Données projet'!$A$139:$I$159,3,0))</f>
        <v>12</v>
      </c>
      <c r="DB138" s="16">
        <f>IF(ISNA(VLOOKUP(A138,'Données projet'!$A$139:$I$159,4,0)),0,VLOOKUP(A138,'Données projet'!$A$139:$I$159,4,0))</f>
        <v>29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3.4106051316484809E-13</v>
      </c>
      <c r="DP138" s="18">
        <f>DO138*VLOOKUP('Données projet'!$B$14,Paramètres!$A$1:$I$89,3,0)*VLOOKUP('Données projet'!$B$14,Paramètres!$A$1:$I$89,5,0)</f>
        <v>2.7134774427395314E-13</v>
      </c>
      <c r="DQ138" s="14">
        <f t="shared" si="151"/>
        <v>3.6292411711343559E-12</v>
      </c>
      <c r="DR138" s="22">
        <f t="shared" si="124"/>
        <v>6.7935256943361388E-12</v>
      </c>
      <c r="DS138" s="60">
        <f t="shared" si="125"/>
        <v>293.33333333334014</v>
      </c>
      <c r="DT138" s="60">
        <f ca="1">AVERAGE(OFFSET($DS$3,0,0,'Données projet'!$E$14+1,1))-AVERAGE(OFFSET($H$3,0,0,'Données projet'!$E$14+1,1))</f>
        <v>317.13087551964747</v>
      </c>
      <c r="DU138" s="60">
        <f t="shared" si="152"/>
        <v>293.43300041793185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1.7053025658242404E-13</v>
      </c>
      <c r="EK138" s="18">
        <f>EJ138*VLOOKUP('Données projet'!$B$15,Paramètres!$A$1:$I$89,3,0)*VLOOKUP('Données projet'!$B$15,Paramètres!$A$1:$I$89,5,0)</f>
        <v>1.3567387213697657E-13</v>
      </c>
      <c r="EL138" s="14">
        <f t="shared" si="153"/>
        <v>1.9670967679808581E-12</v>
      </c>
      <c r="EM138" s="22">
        <f t="shared" si="127"/>
        <v>3.6623255315385623E-12</v>
      </c>
      <c r="EN138" s="60">
        <f t="shared" si="128"/>
        <v>293.33333333333695</v>
      </c>
      <c r="EO138" s="60">
        <f ca="1">AVERAGE(OFFSET($EN$3,0,0,'Données projet'!$E$15+1,1))-AVERAGE(OFFSET($H$3,0,0,'Données projet'!$E$15+1,1))</f>
        <v>253.03289960511904</v>
      </c>
      <c r="EP138" s="60">
        <f t="shared" si="154"/>
        <v>236.85088713056018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1.7053025658242404E-13</v>
      </c>
      <c r="FF138" s="18">
        <f>FE138*VLOOKUP('Données projet'!$B$16,Paramètres!$A$1:$I$89,3,0)*VLOOKUP('Données projet'!$B$16,Paramètres!$A$1:$I$89,5,0)</f>
        <v>1.4897523215040567E-13</v>
      </c>
      <c r="FG138" s="14">
        <f t="shared" si="155"/>
        <v>2.136562777003313E-12</v>
      </c>
      <c r="FH138" s="22">
        <f t="shared" si="130"/>
        <v>3.9806453659427267E-12</v>
      </c>
      <c r="FI138" s="60">
        <f t="shared" si="131"/>
        <v>293.33333333333729</v>
      </c>
      <c r="FJ138" s="60">
        <f ca="1">AVERAGE(OFFSET($FI$3,0,0,'Données projet'!$E$16+1,1))-AVERAGE(OFFSET($H$3,0,0,'Données projet'!$E$16+1,1))</f>
        <v>274.38315511766132</v>
      </c>
      <c r="FK138" s="60">
        <f t="shared" si="156"/>
        <v>255.96663040027175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-1.1368683772161603E-13</v>
      </c>
      <c r="GA138" s="18">
        <f>FZ138*VLOOKUP('Données projet'!$B$17,Paramètres!$A$1:$I$89,3,0)*VLOOKUP('Données projet'!$B$17,Paramètres!$A$1:$I$89,5,0)</f>
        <v>-9.7543306765146564E-14</v>
      </c>
      <c r="GB138" s="14" t="e">
        <f t="shared" si="157"/>
        <v>#NUM!</v>
      </c>
      <c r="GC138" s="22" t="e">
        <f t="shared" si="133"/>
        <v>#NUM!</v>
      </c>
      <c r="GD138" s="60" t="e">
        <f t="shared" si="134"/>
        <v>#NUM!</v>
      </c>
      <c r="GE138" s="60">
        <f ca="1">AVERAGE(OFFSET($GD$3,0,0,'Données projet'!$E$17+1,1))-AVERAGE(OFFSET($H$3,0,0,'Données projet'!$E$17+1,1))</f>
        <v>445.81166342116865</v>
      </c>
      <c r="GF138" s="60">
        <f t="shared" si="158"/>
        <v>230.82970731138215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5.6843418860808015E-14</v>
      </c>
      <c r="GV138" s="18">
        <f>GU138*VLOOKUP('Données projet'!$B$18,Paramètres!$A$1:$I$89,3,0)*VLOOKUP('Données projet'!$B$18,Paramètres!$A$1:$I$89,5,0)</f>
        <v>4.4337866711430253E-14</v>
      </c>
      <c r="GW138" s="14">
        <f t="shared" si="159"/>
        <v>7.3222115536967035E-13</v>
      </c>
      <c r="GX138" s="22">
        <f t="shared" si="136"/>
        <v>1.3525069634579169E-12</v>
      </c>
      <c r="GY138" s="60">
        <f t="shared" si="137"/>
        <v>293.33333333333468</v>
      </c>
      <c r="GZ138" s="60">
        <f ca="1">AVERAGE(OFFSET($GY$3,0,0,'Données projet'!$E$18+1,1))-AVERAGE(OFFSET($H$3,0,0,'Données projet'!$E$18+1,1))</f>
        <v>289.19475369871481</v>
      </c>
      <c r="HA138" s="60">
        <f t="shared" si="160"/>
        <v>283.48738729114024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projet'!$B$18,Paramètres!$A$1:$I$89,3,0)*0.475*44/12</f>
        <v>0</v>
      </c>
      <c r="HH138" s="23">
        <f>EXP(-LN(2)/25)*HH137+(1-EXP(-LN(2)/25))/(LN(2)/25)*Calculateur!HC138*Calculateur!HE138*VLOOKUP('Données projet'!$B$18,Paramètres!$A$1:$I$89,3,0)*0.475*44/12</f>
        <v>0</v>
      </c>
      <c r="HI138" s="23">
        <f>EXP(-LN(2)/2)*HI137+(1-EXP(-LN(2)/2))/(LN(2)/2)*HC138*HF138*VLOOKUP('Données projet'!$B$18,Paramètres!$A$1:$I$89,3,0)*0.475*44/12</f>
        <v>0</v>
      </c>
      <c r="HJ138" s="24">
        <f t="shared" si="138"/>
        <v>0</v>
      </c>
    </row>
    <row r="139" spans="1:218" s="5" customFormat="1" x14ac:dyDescent="0.3">
      <c r="A139" s="11">
        <f t="shared" si="139"/>
        <v>136</v>
      </c>
      <c r="B139" s="75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8">
        <f t="shared" si="110"/>
        <v>256.66666666666669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2.4666666666666668</v>
      </c>
      <c r="N139" s="14">
        <f>IF('Données projet'!$A$36&gt;35,N138+M139-V138,IF(A139&lt;'Données projet'!$A$36,$K$205^A139,IF(A139='Données projet'!$A$36,'Données projet'!$B$36,N138+M139-V138)))</f>
        <v>271.46666666666613</v>
      </c>
      <c r="O139" s="14">
        <f>N139*VLOOKUP('Données projet'!$B$9,Paramètres!$A$1:$I$89,3,0)*VLOOKUP('Données projet'!$B$9,Paramètres!$A$1:$I$89,5,0)</f>
        <v>262.56255999999951</v>
      </c>
      <c r="P139" s="14">
        <f t="shared" si="141"/>
        <v>63.26830000558224</v>
      </c>
      <c r="Q139" s="22">
        <f t="shared" si="108"/>
        <v>567.48874784305497</v>
      </c>
      <c r="R139" s="60">
        <f t="shared" si="109"/>
        <v>860.82208117638834</v>
      </c>
      <c r="S139" s="60">
        <f ca="1">AVERAGE(OFFSET($R$3,0,0,'Données projet'!$E$9+1,1))-AVERAGE(OFFSET($H$3,0,0,'Données projet'!$E$9+1,1))</f>
        <v>456.86147223520601</v>
      </c>
      <c r="T139" s="60">
        <f t="shared" si="142"/>
        <v>244.45149244446094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2.5579538487363607E-13</v>
      </c>
      <c r="AJ139" s="14">
        <f>AI139*VLOOKUP('Données projet'!$B$10,Paramètres!$A$1:$I$89,3,0)*VLOOKUP('Données projet'!$B$10,Paramètres!$A$1:$I$89,5,0)</f>
        <v>1.6759713616920635E-13</v>
      </c>
      <c r="AK139" s="14">
        <f t="shared" si="143"/>
        <v>2.3709043131075133E-12</v>
      </c>
      <c r="AL139" s="22">
        <f t="shared" si="112"/>
        <v>4.4212233574902864E-12</v>
      </c>
      <c r="AM139" s="60">
        <f t="shared" si="113"/>
        <v>293.33333333333775</v>
      </c>
      <c r="AN139" s="60">
        <f ca="1">AVERAGE(OFFSET($AM$3,0,0,'Données projet'!$E$10+1,1))-AVERAGE(OFFSET($H$3,0,0,'Données projet'!$E$10+1,1))</f>
        <v>170.79567854714986</v>
      </c>
      <c r="AO139" s="60">
        <f t="shared" si="144"/>
        <v>155.92788004111191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-1.1368683772161603E-13</v>
      </c>
      <c r="BE139" s="14">
        <f>BD139*VLOOKUP('Données projet'!$B$11,Paramètres!$A$1:$I$89,3,0)*VLOOKUP('Données projet'!$B$11,Paramètres!$A$1:$I$89,5,0)</f>
        <v>-9.2222762759774927E-14</v>
      </c>
      <c r="BF139" s="14" t="e">
        <f t="shared" si="145"/>
        <v>#NUM!</v>
      </c>
      <c r="BG139" s="22" t="e">
        <f t="shared" si="115"/>
        <v>#NUM!</v>
      </c>
      <c r="BH139" s="60" t="e">
        <f t="shared" si="116"/>
        <v>#NUM!</v>
      </c>
      <c r="BI139" s="60">
        <f ca="1">AVERAGE(OFFSET($BH$3,0,0,'Données projet'!$E$11+1,1))-AVERAGE(OFFSET($H$3,0,0,'Données projet'!$E$11+1,1))</f>
        <v>256.19915261735281</v>
      </c>
      <c r="BJ139" s="60">
        <f t="shared" si="146"/>
        <v>297.47246687305056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-5.6843418860808015E-14</v>
      </c>
      <c r="BZ139" s="14">
        <f>BY139*VLOOKUP('Données projet'!$B$12,Paramètres!$A$1:$I$89,3,0)*VLOOKUP('Données projet'!$B$12,Paramètres!$A$1:$I$89,5,0)</f>
        <v>-5.4092197387944907E-14</v>
      </c>
      <c r="CA139" s="14" t="e">
        <f t="shared" si="147"/>
        <v>#NUM!</v>
      </c>
      <c r="CB139" s="22" t="e">
        <f t="shared" si="118"/>
        <v>#NUM!</v>
      </c>
      <c r="CC139" s="60" t="e">
        <f t="shared" si="119"/>
        <v>#NUM!</v>
      </c>
      <c r="CD139" s="60">
        <f ca="1">AVERAGE(OFFSET($CC$3,0,0,'Données projet'!$E$12+1,1))-AVERAGE(OFFSET($H$3,0,0,'Données projet'!$E$12+1,1))</f>
        <v>353.53401919391234</v>
      </c>
      <c r="CE139" s="60">
        <f t="shared" si="148"/>
        <v>244.7141066773861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2.4666666666666668</v>
      </c>
      <c r="CT139" s="13">
        <f>IF('Données projet'!$A$140&gt;35,CT138+CS139-DB138,IF(A139&lt;'Données projet'!$A$140,$CQ$205^A139,IF(A139='Données projet'!$A$140,'Données projet'!$B$140,CT138+CS139-DB138)))</f>
        <v>271.46666666666613</v>
      </c>
      <c r="CU139" s="18">
        <f>CT139*VLOOKUP('Données projet'!$B$13,Paramètres!$A$1:$I$89,3,0)*VLOOKUP('Données projet'!$B$13,Paramètres!$A$1:$I$89,5,0)</f>
        <v>228.68351999999959</v>
      </c>
      <c r="CV139" s="14">
        <f t="shared" si="149"/>
        <v>55.997932747478032</v>
      </c>
      <c r="CW139" s="22">
        <f t="shared" si="121"/>
        <v>495.82019686852345</v>
      </c>
      <c r="CX139" s="60">
        <f t="shared" si="122"/>
        <v>789.15353020185671</v>
      </c>
      <c r="CY139" s="60">
        <f ca="1">AVERAGE(OFFSET($CX$3,0,0,'Données projet'!$E$13+1,1))-AVERAGE(OFFSET($H$3,0,0,'Données projet'!$E$13+1,1))</f>
        <v>403.33327536410098</v>
      </c>
      <c r="CZ139" s="60">
        <f t="shared" si="150"/>
        <v>218.26721063098552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3.4106051316484809E-13</v>
      </c>
      <c r="DP139" s="18">
        <f>DO139*VLOOKUP('Données projet'!$B$14,Paramètres!$A$1:$I$89,3,0)*VLOOKUP('Données projet'!$B$14,Paramètres!$A$1:$I$89,5,0)</f>
        <v>2.7134774427395314E-13</v>
      </c>
      <c r="DQ139" s="14">
        <f t="shared" si="151"/>
        <v>3.6292411711343559E-12</v>
      </c>
      <c r="DR139" s="22">
        <f t="shared" si="124"/>
        <v>6.7935256943361388E-12</v>
      </c>
      <c r="DS139" s="60">
        <f t="shared" si="125"/>
        <v>293.33333333334014</v>
      </c>
      <c r="DT139" s="60">
        <f ca="1">AVERAGE(OFFSET($DS$3,0,0,'Données projet'!$E$14+1,1))-AVERAGE(OFFSET($H$3,0,0,'Données projet'!$E$14+1,1))</f>
        <v>317.13087551964747</v>
      </c>
      <c r="DU139" s="60">
        <f t="shared" si="152"/>
        <v>293.43300041793185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1.7053025658242404E-13</v>
      </c>
      <c r="EK139" s="18">
        <f>EJ139*VLOOKUP('Données projet'!$B$15,Paramètres!$A$1:$I$89,3,0)*VLOOKUP('Données projet'!$B$15,Paramètres!$A$1:$I$89,5,0)</f>
        <v>1.3567387213697657E-13</v>
      </c>
      <c r="EL139" s="14">
        <f t="shared" si="153"/>
        <v>1.9670967679808581E-12</v>
      </c>
      <c r="EM139" s="22">
        <f t="shared" si="127"/>
        <v>3.6623255315385623E-12</v>
      </c>
      <c r="EN139" s="60">
        <f t="shared" si="128"/>
        <v>293.33333333333695</v>
      </c>
      <c r="EO139" s="60">
        <f ca="1">AVERAGE(OFFSET($EN$3,0,0,'Données projet'!$E$15+1,1))-AVERAGE(OFFSET($H$3,0,0,'Données projet'!$E$15+1,1))</f>
        <v>253.03289960511904</v>
      </c>
      <c r="EP139" s="60">
        <f t="shared" si="154"/>
        <v>236.85088713056018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1.7053025658242404E-13</v>
      </c>
      <c r="FF139" s="18">
        <f>FE139*VLOOKUP('Données projet'!$B$16,Paramètres!$A$1:$I$89,3,0)*VLOOKUP('Données projet'!$B$16,Paramètres!$A$1:$I$89,5,0)</f>
        <v>1.4897523215040567E-13</v>
      </c>
      <c r="FG139" s="14">
        <f t="shared" si="155"/>
        <v>2.136562777003313E-12</v>
      </c>
      <c r="FH139" s="22">
        <f t="shared" si="130"/>
        <v>3.9806453659427267E-12</v>
      </c>
      <c r="FI139" s="60">
        <f t="shared" si="131"/>
        <v>293.33333333333729</v>
      </c>
      <c r="FJ139" s="60">
        <f ca="1">AVERAGE(OFFSET($FI$3,0,0,'Données projet'!$E$16+1,1))-AVERAGE(OFFSET($H$3,0,0,'Données projet'!$E$16+1,1))</f>
        <v>274.38315511766132</v>
      </c>
      <c r="FK139" s="60">
        <f t="shared" si="156"/>
        <v>255.96663040027175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-1.1368683772161603E-13</v>
      </c>
      <c r="GA139" s="18">
        <f>FZ139*VLOOKUP('Données projet'!$B$17,Paramètres!$A$1:$I$89,3,0)*VLOOKUP('Données projet'!$B$17,Paramètres!$A$1:$I$89,5,0)</f>
        <v>-9.7543306765146564E-14</v>
      </c>
      <c r="GB139" s="14" t="e">
        <f t="shared" si="157"/>
        <v>#NUM!</v>
      </c>
      <c r="GC139" s="22" t="e">
        <f t="shared" si="133"/>
        <v>#NUM!</v>
      </c>
      <c r="GD139" s="60" t="e">
        <f t="shared" si="134"/>
        <v>#NUM!</v>
      </c>
      <c r="GE139" s="60">
        <f ca="1">AVERAGE(OFFSET($GD$3,0,0,'Données projet'!$E$17+1,1))-AVERAGE(OFFSET($H$3,0,0,'Données projet'!$E$17+1,1))</f>
        <v>445.81166342116865</v>
      </c>
      <c r="GF139" s="60">
        <f t="shared" si="158"/>
        <v>230.82970731138215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5.6843418860808015E-14</v>
      </c>
      <c r="GV139" s="18">
        <f>GU139*VLOOKUP('Données projet'!$B$18,Paramètres!$A$1:$I$89,3,0)*VLOOKUP('Données projet'!$B$18,Paramètres!$A$1:$I$89,5,0)</f>
        <v>4.4337866711430253E-14</v>
      </c>
      <c r="GW139" s="14">
        <f t="shared" si="159"/>
        <v>7.3222115536967035E-13</v>
      </c>
      <c r="GX139" s="22">
        <f t="shared" si="136"/>
        <v>1.3525069634579169E-12</v>
      </c>
      <c r="GY139" s="60">
        <f t="shared" si="137"/>
        <v>293.33333333333468</v>
      </c>
      <c r="GZ139" s="60">
        <f ca="1">AVERAGE(OFFSET($GY$3,0,0,'Données projet'!$E$18+1,1))-AVERAGE(OFFSET($H$3,0,0,'Données projet'!$E$18+1,1))</f>
        <v>289.19475369871481</v>
      </c>
      <c r="HA139" s="60">
        <f t="shared" si="160"/>
        <v>283.48738729114024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projet'!$B$18,Paramètres!$A$1:$I$89,3,0)*0.475*44/12</f>
        <v>0</v>
      </c>
      <c r="HH139" s="23">
        <f>EXP(-LN(2)/25)*HH138+(1-EXP(-LN(2)/25))/(LN(2)/25)*Calculateur!HC139*Calculateur!HE139*VLOOKUP('Données projet'!$B$18,Paramètres!$A$1:$I$89,3,0)*0.475*44/12</f>
        <v>0</v>
      </c>
      <c r="HI139" s="23">
        <f>EXP(-LN(2)/2)*HI138+(1-EXP(-LN(2)/2))/(LN(2)/2)*HC139*HF139*VLOOKUP('Données projet'!$B$18,Paramètres!$A$1:$I$89,3,0)*0.475*44/12</f>
        <v>0</v>
      </c>
      <c r="HJ139" s="24">
        <f t="shared" si="138"/>
        <v>0</v>
      </c>
    </row>
    <row r="140" spans="1:218" s="5" customFormat="1" x14ac:dyDescent="0.3">
      <c r="A140" s="11">
        <f t="shared" si="139"/>
        <v>137</v>
      </c>
      <c r="B140" s="75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8">
        <f t="shared" si="110"/>
        <v>256.66666666666669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2.4666666666666668</v>
      </c>
      <c r="N140" s="14">
        <f>IF('Données projet'!$A$36&gt;35,N139+M140-V139,IF(A140&lt;'Données projet'!$A$36,$K$205^A140,IF(A140='Données projet'!$A$36,'Données projet'!$B$36,N139+M140-V139)))</f>
        <v>273.93333333333277</v>
      </c>
      <c r="O140" s="14">
        <f>N140*VLOOKUP('Données projet'!$B$9,Paramètres!$A$1:$I$89,3,0)*VLOOKUP('Données projet'!$B$9,Paramètres!$A$1:$I$89,5,0)</f>
        <v>264.94831999999946</v>
      </c>
      <c r="P140" s="14">
        <f t="shared" si="141"/>
        <v>63.775999664184965</v>
      </c>
      <c r="Q140" s="22">
        <f t="shared" si="108"/>
        <v>572.52819008178778</v>
      </c>
      <c r="R140" s="60">
        <f t="shared" si="109"/>
        <v>865.86152341512116</v>
      </c>
      <c r="S140" s="60">
        <f ca="1">AVERAGE(OFFSET($R$3,0,0,'Données projet'!$E$9+1,1))-AVERAGE(OFFSET($H$3,0,0,'Données projet'!$E$9+1,1))</f>
        <v>456.86147223520601</v>
      </c>
      <c r="T140" s="60">
        <f t="shared" si="142"/>
        <v>244.45149244446094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2.5579538487363607E-13</v>
      </c>
      <c r="AJ140" s="14">
        <f>AI140*VLOOKUP('Données projet'!$B$10,Paramètres!$A$1:$I$89,3,0)*VLOOKUP('Données projet'!$B$10,Paramètres!$A$1:$I$89,5,0)</f>
        <v>1.6759713616920635E-13</v>
      </c>
      <c r="AK140" s="14">
        <f t="shared" si="143"/>
        <v>2.3709043131075133E-12</v>
      </c>
      <c r="AL140" s="22">
        <f t="shared" si="112"/>
        <v>4.4212233574902864E-12</v>
      </c>
      <c r="AM140" s="60">
        <f t="shared" si="113"/>
        <v>293.33333333333775</v>
      </c>
      <c r="AN140" s="60">
        <f ca="1">AVERAGE(OFFSET($AM$3,0,0,'Données projet'!$E$10+1,1))-AVERAGE(OFFSET($H$3,0,0,'Données projet'!$E$10+1,1))</f>
        <v>170.79567854714986</v>
      </c>
      <c r="AO140" s="60">
        <f t="shared" si="144"/>
        <v>155.92788004111191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-1.1368683772161603E-13</v>
      </c>
      <c r="BE140" s="14">
        <f>BD140*VLOOKUP('Données projet'!$B$11,Paramètres!$A$1:$I$89,3,0)*VLOOKUP('Données projet'!$B$11,Paramètres!$A$1:$I$89,5,0)</f>
        <v>-9.2222762759774927E-14</v>
      </c>
      <c r="BF140" s="14" t="e">
        <f t="shared" si="145"/>
        <v>#NUM!</v>
      </c>
      <c r="BG140" s="22" t="e">
        <f t="shared" si="115"/>
        <v>#NUM!</v>
      </c>
      <c r="BH140" s="60" t="e">
        <f t="shared" si="116"/>
        <v>#NUM!</v>
      </c>
      <c r="BI140" s="60">
        <f ca="1">AVERAGE(OFFSET($BH$3,0,0,'Données projet'!$E$11+1,1))-AVERAGE(OFFSET($H$3,0,0,'Données projet'!$E$11+1,1))</f>
        <v>256.19915261735281</v>
      </c>
      <c r="BJ140" s="60">
        <f t="shared" si="146"/>
        <v>297.47246687305056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-5.6843418860808015E-14</v>
      </c>
      <c r="BZ140" s="14">
        <f>BY140*VLOOKUP('Données projet'!$B$12,Paramètres!$A$1:$I$89,3,0)*VLOOKUP('Données projet'!$B$12,Paramètres!$A$1:$I$89,5,0)</f>
        <v>-5.4092197387944907E-14</v>
      </c>
      <c r="CA140" s="14" t="e">
        <f t="shared" si="147"/>
        <v>#NUM!</v>
      </c>
      <c r="CB140" s="22" t="e">
        <f t="shared" si="118"/>
        <v>#NUM!</v>
      </c>
      <c r="CC140" s="60" t="e">
        <f t="shared" si="119"/>
        <v>#NUM!</v>
      </c>
      <c r="CD140" s="60">
        <f ca="1">AVERAGE(OFFSET($CC$3,0,0,'Données projet'!$E$12+1,1))-AVERAGE(OFFSET($H$3,0,0,'Données projet'!$E$12+1,1))</f>
        <v>353.53401919391234</v>
      </c>
      <c r="CE140" s="60">
        <f t="shared" si="148"/>
        <v>244.7141066773861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2.4666666666666668</v>
      </c>
      <c r="CT140" s="13">
        <f>IF('Données projet'!$A$140&gt;35,CT139+CS140-DB139,IF(A140&lt;'Données projet'!$A$140,$CQ$205^A140,IF(A140='Données projet'!$A$140,'Données projet'!$B$140,CT139+CS140-DB139)))</f>
        <v>273.93333333333277</v>
      </c>
      <c r="CU140" s="18">
        <f>CT140*VLOOKUP('Données projet'!$B$13,Paramètres!$A$1:$I$89,3,0)*VLOOKUP('Données projet'!$B$13,Paramètres!$A$1:$I$89,5,0)</f>
        <v>230.76143999999954</v>
      </c>
      <c r="CV140" s="14">
        <f t="shared" si="149"/>
        <v>56.447290977995436</v>
      </c>
      <c r="CW140" s="22">
        <f t="shared" si="121"/>
        <v>500.22187312000779</v>
      </c>
      <c r="CX140" s="60">
        <f t="shared" si="122"/>
        <v>793.55520645334104</v>
      </c>
      <c r="CY140" s="60">
        <f ca="1">AVERAGE(OFFSET($CX$3,0,0,'Données projet'!$E$13+1,1))-AVERAGE(OFFSET($H$3,0,0,'Données projet'!$E$13+1,1))</f>
        <v>403.33327536410098</v>
      </c>
      <c r="CZ140" s="60">
        <f t="shared" si="150"/>
        <v>218.26721063098552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3.4106051316484809E-13</v>
      </c>
      <c r="DP140" s="18">
        <f>DO140*VLOOKUP('Données projet'!$B$14,Paramètres!$A$1:$I$89,3,0)*VLOOKUP('Données projet'!$B$14,Paramètres!$A$1:$I$89,5,0)</f>
        <v>2.7134774427395314E-13</v>
      </c>
      <c r="DQ140" s="14">
        <f t="shared" si="151"/>
        <v>3.6292411711343559E-12</v>
      </c>
      <c r="DR140" s="22">
        <f t="shared" si="124"/>
        <v>6.7935256943361388E-12</v>
      </c>
      <c r="DS140" s="60">
        <f t="shared" si="125"/>
        <v>293.33333333334014</v>
      </c>
      <c r="DT140" s="60">
        <f ca="1">AVERAGE(OFFSET($DS$3,0,0,'Données projet'!$E$14+1,1))-AVERAGE(OFFSET($H$3,0,0,'Données projet'!$E$14+1,1))</f>
        <v>317.13087551964747</v>
      </c>
      <c r="DU140" s="60">
        <f t="shared" si="152"/>
        <v>293.43300041793185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1.7053025658242404E-13</v>
      </c>
      <c r="EK140" s="18">
        <f>EJ140*VLOOKUP('Données projet'!$B$15,Paramètres!$A$1:$I$89,3,0)*VLOOKUP('Données projet'!$B$15,Paramètres!$A$1:$I$89,5,0)</f>
        <v>1.3567387213697657E-13</v>
      </c>
      <c r="EL140" s="14">
        <f t="shared" si="153"/>
        <v>1.9670967679808581E-12</v>
      </c>
      <c r="EM140" s="22">
        <f t="shared" si="127"/>
        <v>3.6623255315385623E-12</v>
      </c>
      <c r="EN140" s="60">
        <f t="shared" si="128"/>
        <v>293.33333333333695</v>
      </c>
      <c r="EO140" s="60">
        <f ca="1">AVERAGE(OFFSET($EN$3,0,0,'Données projet'!$E$15+1,1))-AVERAGE(OFFSET($H$3,0,0,'Données projet'!$E$15+1,1))</f>
        <v>253.03289960511904</v>
      </c>
      <c r="EP140" s="60">
        <f t="shared" si="154"/>
        <v>236.85088713056018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1.7053025658242404E-13</v>
      </c>
      <c r="FF140" s="18">
        <f>FE140*VLOOKUP('Données projet'!$B$16,Paramètres!$A$1:$I$89,3,0)*VLOOKUP('Données projet'!$B$16,Paramètres!$A$1:$I$89,5,0)</f>
        <v>1.4897523215040567E-13</v>
      </c>
      <c r="FG140" s="14">
        <f t="shared" si="155"/>
        <v>2.136562777003313E-12</v>
      </c>
      <c r="FH140" s="22">
        <f t="shared" si="130"/>
        <v>3.9806453659427267E-12</v>
      </c>
      <c r="FI140" s="60">
        <f t="shared" si="131"/>
        <v>293.33333333333729</v>
      </c>
      <c r="FJ140" s="60">
        <f ca="1">AVERAGE(OFFSET($FI$3,0,0,'Données projet'!$E$16+1,1))-AVERAGE(OFFSET($H$3,0,0,'Données projet'!$E$16+1,1))</f>
        <v>274.38315511766132</v>
      </c>
      <c r="FK140" s="60">
        <f t="shared" si="156"/>
        <v>255.96663040027175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-1.1368683772161603E-13</v>
      </c>
      <c r="GA140" s="18">
        <f>FZ140*VLOOKUP('Données projet'!$B$17,Paramètres!$A$1:$I$89,3,0)*VLOOKUP('Données projet'!$B$17,Paramètres!$A$1:$I$89,5,0)</f>
        <v>-9.7543306765146564E-14</v>
      </c>
      <c r="GB140" s="14" t="e">
        <f t="shared" si="157"/>
        <v>#NUM!</v>
      </c>
      <c r="GC140" s="22" t="e">
        <f t="shared" si="133"/>
        <v>#NUM!</v>
      </c>
      <c r="GD140" s="60" t="e">
        <f t="shared" si="134"/>
        <v>#NUM!</v>
      </c>
      <c r="GE140" s="60">
        <f ca="1">AVERAGE(OFFSET($GD$3,0,0,'Données projet'!$E$17+1,1))-AVERAGE(OFFSET($H$3,0,0,'Données projet'!$E$17+1,1))</f>
        <v>445.81166342116865</v>
      </c>
      <c r="GF140" s="60">
        <f t="shared" si="158"/>
        <v>230.82970731138215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5.6843418860808015E-14</v>
      </c>
      <c r="GV140" s="18">
        <f>GU140*VLOOKUP('Données projet'!$B$18,Paramètres!$A$1:$I$89,3,0)*VLOOKUP('Données projet'!$B$18,Paramètres!$A$1:$I$89,5,0)</f>
        <v>4.4337866711430253E-14</v>
      </c>
      <c r="GW140" s="14">
        <f t="shared" si="159"/>
        <v>7.3222115536967035E-13</v>
      </c>
      <c r="GX140" s="22">
        <f t="shared" si="136"/>
        <v>1.3525069634579169E-12</v>
      </c>
      <c r="GY140" s="60">
        <f t="shared" si="137"/>
        <v>293.33333333333468</v>
      </c>
      <c r="GZ140" s="60">
        <f ca="1">AVERAGE(OFFSET($GY$3,0,0,'Données projet'!$E$18+1,1))-AVERAGE(OFFSET($H$3,0,0,'Données projet'!$E$18+1,1))</f>
        <v>289.19475369871481</v>
      </c>
      <c r="HA140" s="60">
        <f t="shared" si="160"/>
        <v>283.48738729114024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projet'!$B$18,Paramètres!$A$1:$I$89,3,0)*0.475*44/12</f>
        <v>0</v>
      </c>
      <c r="HH140" s="23">
        <f>EXP(-LN(2)/25)*HH139+(1-EXP(-LN(2)/25))/(LN(2)/25)*Calculateur!HC140*Calculateur!HE140*VLOOKUP('Données projet'!$B$18,Paramètres!$A$1:$I$89,3,0)*0.475*44/12</f>
        <v>0</v>
      </c>
      <c r="HI140" s="23">
        <f>EXP(-LN(2)/2)*HI139+(1-EXP(-LN(2)/2))/(LN(2)/2)*HC140*HF140*VLOOKUP('Données projet'!$B$18,Paramètres!$A$1:$I$89,3,0)*0.475*44/12</f>
        <v>0</v>
      </c>
      <c r="HJ140" s="24">
        <f t="shared" si="138"/>
        <v>0</v>
      </c>
    </row>
    <row r="141" spans="1:218" s="5" customFormat="1" x14ac:dyDescent="0.3">
      <c r="A141" s="11">
        <f t="shared" si="139"/>
        <v>138</v>
      </c>
      <c r="B141" s="75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8">
        <f t="shared" si="110"/>
        <v>256.66666666666669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2.4666666666666668</v>
      </c>
      <c r="N141" s="14">
        <f>IF('Données projet'!$A$36&gt;35,N140+M141-V140,IF(A141&lt;'Données projet'!$A$36,$K$205^A141,IF(A141='Données projet'!$A$36,'Données projet'!$B$36,N140+M141-V140)))</f>
        <v>276.39999999999941</v>
      </c>
      <c r="O141" s="14">
        <f>N141*VLOOKUP('Données projet'!$B$9,Paramètres!$A$1:$I$89,3,0)*VLOOKUP('Données projet'!$B$9,Paramètres!$A$1:$I$89,5,0)</f>
        <v>267.3340799999994</v>
      </c>
      <c r="P141" s="14">
        <f t="shared" si="141"/>
        <v>64.283167454542934</v>
      </c>
      <c r="Q141" s="22">
        <f t="shared" si="108"/>
        <v>577.56670598332778</v>
      </c>
      <c r="R141" s="60">
        <f t="shared" si="109"/>
        <v>870.90003931666115</v>
      </c>
      <c r="S141" s="60">
        <f ca="1">AVERAGE(OFFSET($R$3,0,0,'Données projet'!$E$9+1,1))-AVERAGE(OFFSET($H$3,0,0,'Données projet'!$E$9+1,1))</f>
        <v>456.86147223520601</v>
      </c>
      <c r="T141" s="60">
        <f t="shared" si="142"/>
        <v>244.45149244446094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2.5579538487363607E-13</v>
      </c>
      <c r="AJ141" s="14">
        <f>AI141*VLOOKUP('Données projet'!$B$10,Paramètres!$A$1:$I$89,3,0)*VLOOKUP('Données projet'!$B$10,Paramètres!$A$1:$I$89,5,0)</f>
        <v>1.6759713616920635E-13</v>
      </c>
      <c r="AK141" s="14">
        <f t="shared" si="143"/>
        <v>2.3709043131075133E-12</v>
      </c>
      <c r="AL141" s="22">
        <f t="shared" si="112"/>
        <v>4.4212233574902864E-12</v>
      </c>
      <c r="AM141" s="60">
        <f t="shared" si="113"/>
        <v>293.33333333333775</v>
      </c>
      <c r="AN141" s="60">
        <f ca="1">AVERAGE(OFFSET($AM$3,0,0,'Données projet'!$E$10+1,1))-AVERAGE(OFFSET($H$3,0,0,'Données projet'!$E$10+1,1))</f>
        <v>170.79567854714986</v>
      </c>
      <c r="AO141" s="60">
        <f t="shared" si="144"/>
        <v>155.92788004111191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-1.1368683772161603E-13</v>
      </c>
      <c r="BE141" s="14">
        <f>BD141*VLOOKUP('Données projet'!$B$11,Paramètres!$A$1:$I$89,3,0)*VLOOKUP('Données projet'!$B$11,Paramètres!$A$1:$I$89,5,0)</f>
        <v>-9.2222762759774927E-14</v>
      </c>
      <c r="BF141" s="14" t="e">
        <f t="shared" si="145"/>
        <v>#NUM!</v>
      </c>
      <c r="BG141" s="22" t="e">
        <f t="shared" si="115"/>
        <v>#NUM!</v>
      </c>
      <c r="BH141" s="60" t="e">
        <f t="shared" si="116"/>
        <v>#NUM!</v>
      </c>
      <c r="BI141" s="60">
        <f ca="1">AVERAGE(OFFSET($BH$3,0,0,'Données projet'!$E$11+1,1))-AVERAGE(OFFSET($H$3,0,0,'Données projet'!$E$11+1,1))</f>
        <v>256.19915261735281</v>
      </c>
      <c r="BJ141" s="60">
        <f t="shared" si="146"/>
        <v>297.47246687305056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-5.6843418860808015E-14</v>
      </c>
      <c r="BZ141" s="14">
        <f>BY141*VLOOKUP('Données projet'!$B$12,Paramètres!$A$1:$I$89,3,0)*VLOOKUP('Données projet'!$B$12,Paramètres!$A$1:$I$89,5,0)</f>
        <v>-5.4092197387944907E-14</v>
      </c>
      <c r="CA141" s="14" t="e">
        <f t="shared" si="147"/>
        <v>#NUM!</v>
      </c>
      <c r="CB141" s="22" t="e">
        <f t="shared" si="118"/>
        <v>#NUM!</v>
      </c>
      <c r="CC141" s="60" t="e">
        <f t="shared" si="119"/>
        <v>#NUM!</v>
      </c>
      <c r="CD141" s="60">
        <f ca="1">AVERAGE(OFFSET($CC$3,0,0,'Données projet'!$E$12+1,1))-AVERAGE(OFFSET($H$3,0,0,'Données projet'!$E$12+1,1))</f>
        <v>353.53401919391234</v>
      </c>
      <c r="CE141" s="60">
        <f t="shared" si="148"/>
        <v>244.7141066773861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2.4666666666666668</v>
      </c>
      <c r="CT141" s="13">
        <f>IF('Données projet'!$A$140&gt;35,CT140+CS141-DB140,IF(A141&lt;'Données projet'!$A$140,$CQ$205^A141,IF(A141='Données projet'!$A$140,'Données projet'!$B$140,CT140+CS141-DB140)))</f>
        <v>276.39999999999941</v>
      </c>
      <c r="CU141" s="18">
        <f>CT141*VLOOKUP('Données projet'!$B$13,Paramètres!$A$1:$I$89,3,0)*VLOOKUP('Données projet'!$B$13,Paramètres!$A$1:$I$89,5,0)</f>
        <v>232.83935999999952</v>
      </c>
      <c r="CV141" s="14">
        <f t="shared" si="149"/>
        <v>56.89617845898745</v>
      </c>
      <c r="CW141" s="22">
        <f t="shared" si="121"/>
        <v>504.62272948273556</v>
      </c>
      <c r="CX141" s="60">
        <f t="shared" si="122"/>
        <v>797.95606281606888</v>
      </c>
      <c r="CY141" s="60">
        <f ca="1">AVERAGE(OFFSET($CX$3,0,0,'Données projet'!$E$13+1,1))-AVERAGE(OFFSET($H$3,0,0,'Données projet'!$E$13+1,1))</f>
        <v>403.33327536410098</v>
      </c>
      <c r="CZ141" s="60">
        <f t="shared" si="150"/>
        <v>218.26721063098552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3.4106051316484809E-13</v>
      </c>
      <c r="DP141" s="18">
        <f>DO141*VLOOKUP('Données projet'!$B$14,Paramètres!$A$1:$I$89,3,0)*VLOOKUP('Données projet'!$B$14,Paramètres!$A$1:$I$89,5,0)</f>
        <v>2.7134774427395314E-13</v>
      </c>
      <c r="DQ141" s="14">
        <f t="shared" si="151"/>
        <v>3.6292411711343559E-12</v>
      </c>
      <c r="DR141" s="22">
        <f t="shared" si="124"/>
        <v>6.7935256943361388E-12</v>
      </c>
      <c r="DS141" s="60">
        <f t="shared" si="125"/>
        <v>293.33333333334014</v>
      </c>
      <c r="DT141" s="60">
        <f ca="1">AVERAGE(OFFSET($DS$3,0,0,'Données projet'!$E$14+1,1))-AVERAGE(OFFSET($H$3,0,0,'Données projet'!$E$14+1,1))</f>
        <v>317.13087551964747</v>
      </c>
      <c r="DU141" s="60">
        <f t="shared" si="152"/>
        <v>293.43300041793185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1.7053025658242404E-13</v>
      </c>
      <c r="EK141" s="18">
        <f>EJ141*VLOOKUP('Données projet'!$B$15,Paramètres!$A$1:$I$89,3,0)*VLOOKUP('Données projet'!$B$15,Paramètres!$A$1:$I$89,5,0)</f>
        <v>1.3567387213697657E-13</v>
      </c>
      <c r="EL141" s="14">
        <f t="shared" si="153"/>
        <v>1.9670967679808581E-12</v>
      </c>
      <c r="EM141" s="22">
        <f t="shared" si="127"/>
        <v>3.6623255315385623E-12</v>
      </c>
      <c r="EN141" s="60">
        <f t="shared" si="128"/>
        <v>293.33333333333695</v>
      </c>
      <c r="EO141" s="60">
        <f ca="1">AVERAGE(OFFSET($EN$3,0,0,'Données projet'!$E$15+1,1))-AVERAGE(OFFSET($H$3,0,0,'Données projet'!$E$15+1,1))</f>
        <v>253.03289960511904</v>
      </c>
      <c r="EP141" s="60">
        <f t="shared" si="154"/>
        <v>236.85088713056018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1.7053025658242404E-13</v>
      </c>
      <c r="FF141" s="18">
        <f>FE141*VLOOKUP('Données projet'!$B$16,Paramètres!$A$1:$I$89,3,0)*VLOOKUP('Données projet'!$B$16,Paramètres!$A$1:$I$89,5,0)</f>
        <v>1.4897523215040567E-13</v>
      </c>
      <c r="FG141" s="14">
        <f t="shared" si="155"/>
        <v>2.136562777003313E-12</v>
      </c>
      <c r="FH141" s="22">
        <f t="shared" si="130"/>
        <v>3.9806453659427267E-12</v>
      </c>
      <c r="FI141" s="60">
        <f t="shared" si="131"/>
        <v>293.33333333333729</v>
      </c>
      <c r="FJ141" s="60">
        <f ca="1">AVERAGE(OFFSET($FI$3,0,0,'Données projet'!$E$16+1,1))-AVERAGE(OFFSET($H$3,0,0,'Données projet'!$E$16+1,1))</f>
        <v>274.38315511766132</v>
      </c>
      <c r="FK141" s="60">
        <f t="shared" si="156"/>
        <v>255.96663040027175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-1.1368683772161603E-13</v>
      </c>
      <c r="GA141" s="18">
        <f>FZ141*VLOOKUP('Données projet'!$B$17,Paramètres!$A$1:$I$89,3,0)*VLOOKUP('Données projet'!$B$17,Paramètres!$A$1:$I$89,5,0)</f>
        <v>-9.7543306765146564E-14</v>
      </c>
      <c r="GB141" s="14" t="e">
        <f t="shared" si="157"/>
        <v>#NUM!</v>
      </c>
      <c r="GC141" s="22" t="e">
        <f t="shared" si="133"/>
        <v>#NUM!</v>
      </c>
      <c r="GD141" s="60" t="e">
        <f t="shared" si="134"/>
        <v>#NUM!</v>
      </c>
      <c r="GE141" s="60">
        <f ca="1">AVERAGE(OFFSET($GD$3,0,0,'Données projet'!$E$17+1,1))-AVERAGE(OFFSET($H$3,0,0,'Données projet'!$E$17+1,1))</f>
        <v>445.81166342116865</v>
      </c>
      <c r="GF141" s="60">
        <f t="shared" si="158"/>
        <v>230.82970731138215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5.6843418860808015E-14</v>
      </c>
      <c r="GV141" s="18">
        <f>GU141*VLOOKUP('Données projet'!$B$18,Paramètres!$A$1:$I$89,3,0)*VLOOKUP('Données projet'!$B$18,Paramètres!$A$1:$I$89,5,0)</f>
        <v>4.4337866711430253E-14</v>
      </c>
      <c r="GW141" s="14">
        <f t="shared" si="159"/>
        <v>7.3222115536967035E-13</v>
      </c>
      <c r="GX141" s="22">
        <f t="shared" si="136"/>
        <v>1.3525069634579169E-12</v>
      </c>
      <c r="GY141" s="60">
        <f t="shared" si="137"/>
        <v>293.33333333333468</v>
      </c>
      <c r="GZ141" s="60">
        <f ca="1">AVERAGE(OFFSET($GY$3,0,0,'Données projet'!$E$18+1,1))-AVERAGE(OFFSET($H$3,0,0,'Données projet'!$E$18+1,1))</f>
        <v>289.19475369871481</v>
      </c>
      <c r="HA141" s="60">
        <f t="shared" si="160"/>
        <v>283.48738729114024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projet'!$B$18,Paramètres!$A$1:$I$89,3,0)*0.475*44/12</f>
        <v>0</v>
      </c>
      <c r="HH141" s="23">
        <f>EXP(-LN(2)/25)*HH140+(1-EXP(-LN(2)/25))/(LN(2)/25)*Calculateur!HC141*Calculateur!HE141*VLOOKUP('Données projet'!$B$18,Paramètres!$A$1:$I$89,3,0)*0.475*44/12</f>
        <v>0</v>
      </c>
      <c r="HI141" s="23">
        <f>EXP(-LN(2)/2)*HI140+(1-EXP(-LN(2)/2))/(LN(2)/2)*HC141*HF141*VLOOKUP('Données projet'!$B$18,Paramètres!$A$1:$I$89,3,0)*0.475*44/12</f>
        <v>0</v>
      </c>
      <c r="HJ141" s="24">
        <f t="shared" si="138"/>
        <v>0</v>
      </c>
    </row>
    <row r="142" spans="1:218" s="5" customFormat="1" x14ac:dyDescent="0.3">
      <c r="A142" s="11">
        <f t="shared" si="139"/>
        <v>139</v>
      </c>
      <c r="B142" s="75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8">
        <f t="shared" si="110"/>
        <v>256.66666666666669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2.4666666666666668</v>
      </c>
      <c r="N142" s="14">
        <f>IF('Données projet'!$A$36&gt;35,N141+M142-V141,IF(A142&lt;'Données projet'!$A$36,$K$205^A142,IF(A142='Données projet'!$A$36,'Données projet'!$B$36,N141+M142-V141)))</f>
        <v>278.86666666666605</v>
      </c>
      <c r="O142" s="14">
        <f>N142*VLOOKUP('Données projet'!$B$9,Paramètres!$A$1:$I$89,3,0)*VLOOKUP('Données projet'!$B$9,Paramètres!$A$1:$I$89,5,0)</f>
        <v>269.71983999999941</v>
      </c>
      <c r="P142" s="14">
        <f t="shared" si="141"/>
        <v>64.789808673075157</v>
      </c>
      <c r="Q142" s="22">
        <f t="shared" si="108"/>
        <v>582.60430477227158</v>
      </c>
      <c r="R142" s="60">
        <f t="shared" si="109"/>
        <v>875.93763810560495</v>
      </c>
      <c r="S142" s="60">
        <f ca="1">AVERAGE(OFFSET($R$3,0,0,'Données projet'!$E$9+1,1))-AVERAGE(OFFSET($H$3,0,0,'Données projet'!$E$9+1,1))</f>
        <v>456.86147223520601</v>
      </c>
      <c r="T142" s="60">
        <f t="shared" si="142"/>
        <v>244.45149244446094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2.5579538487363607E-13</v>
      </c>
      <c r="AJ142" s="14">
        <f>AI142*VLOOKUP('Données projet'!$B$10,Paramètres!$A$1:$I$89,3,0)*VLOOKUP('Données projet'!$B$10,Paramètres!$A$1:$I$89,5,0)</f>
        <v>1.6759713616920635E-13</v>
      </c>
      <c r="AK142" s="14">
        <f t="shared" si="143"/>
        <v>2.3709043131075133E-12</v>
      </c>
      <c r="AL142" s="22">
        <f t="shared" si="112"/>
        <v>4.4212233574902864E-12</v>
      </c>
      <c r="AM142" s="60">
        <f t="shared" si="113"/>
        <v>293.33333333333775</v>
      </c>
      <c r="AN142" s="60">
        <f ca="1">AVERAGE(OFFSET($AM$3,0,0,'Données projet'!$E$10+1,1))-AVERAGE(OFFSET($H$3,0,0,'Données projet'!$E$10+1,1))</f>
        <v>170.79567854714986</v>
      </c>
      <c r="AO142" s="60">
        <f t="shared" si="144"/>
        <v>155.92788004111191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-1.1368683772161603E-13</v>
      </c>
      <c r="BE142" s="14">
        <f>BD142*VLOOKUP('Données projet'!$B$11,Paramètres!$A$1:$I$89,3,0)*VLOOKUP('Données projet'!$B$11,Paramètres!$A$1:$I$89,5,0)</f>
        <v>-9.2222762759774927E-14</v>
      </c>
      <c r="BF142" s="14" t="e">
        <f t="shared" si="145"/>
        <v>#NUM!</v>
      </c>
      <c r="BG142" s="22" t="e">
        <f t="shared" si="115"/>
        <v>#NUM!</v>
      </c>
      <c r="BH142" s="60" t="e">
        <f t="shared" si="116"/>
        <v>#NUM!</v>
      </c>
      <c r="BI142" s="60">
        <f ca="1">AVERAGE(OFFSET($BH$3,0,0,'Données projet'!$E$11+1,1))-AVERAGE(OFFSET($H$3,0,0,'Données projet'!$E$11+1,1))</f>
        <v>256.19915261735281</v>
      </c>
      <c r="BJ142" s="60">
        <f t="shared" si="146"/>
        <v>297.47246687305056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-5.6843418860808015E-14</v>
      </c>
      <c r="BZ142" s="14">
        <f>BY142*VLOOKUP('Données projet'!$B$12,Paramètres!$A$1:$I$89,3,0)*VLOOKUP('Données projet'!$B$12,Paramètres!$A$1:$I$89,5,0)</f>
        <v>-5.4092197387944907E-14</v>
      </c>
      <c r="CA142" s="14" t="e">
        <f t="shared" si="147"/>
        <v>#NUM!</v>
      </c>
      <c r="CB142" s="22" t="e">
        <f t="shared" si="118"/>
        <v>#NUM!</v>
      </c>
      <c r="CC142" s="60" t="e">
        <f t="shared" si="119"/>
        <v>#NUM!</v>
      </c>
      <c r="CD142" s="60">
        <f ca="1">AVERAGE(OFFSET($CC$3,0,0,'Données projet'!$E$12+1,1))-AVERAGE(OFFSET($H$3,0,0,'Données projet'!$E$12+1,1))</f>
        <v>353.53401919391234</v>
      </c>
      <c r="CE142" s="60">
        <f t="shared" si="148"/>
        <v>244.7141066773861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2.4666666666666668</v>
      </c>
      <c r="CT142" s="13">
        <f>IF('Données projet'!$A$140&gt;35,CT141+CS142-DB141,IF(A142&lt;'Données projet'!$A$140,$CQ$205^A142,IF(A142='Données projet'!$A$140,'Données projet'!$B$140,CT141+CS142-DB141)))</f>
        <v>278.86666666666605</v>
      </c>
      <c r="CU142" s="18">
        <f>CT142*VLOOKUP('Données projet'!$B$13,Paramètres!$A$1:$I$89,3,0)*VLOOKUP('Données projet'!$B$13,Paramètres!$A$1:$I$89,5,0)</f>
        <v>234.91727999999952</v>
      </c>
      <c r="CV142" s="14">
        <f t="shared" si="149"/>
        <v>57.344599878244281</v>
      </c>
      <c r="CW142" s="22">
        <f t="shared" si="121"/>
        <v>509.02277412127455</v>
      </c>
      <c r="CX142" s="60">
        <f t="shared" si="122"/>
        <v>802.35610745460781</v>
      </c>
      <c r="CY142" s="60">
        <f ca="1">AVERAGE(OFFSET($CX$3,0,0,'Données projet'!$E$13+1,1))-AVERAGE(OFFSET($H$3,0,0,'Données projet'!$E$13+1,1))</f>
        <v>403.33327536410098</v>
      </c>
      <c r="CZ142" s="60">
        <f t="shared" si="150"/>
        <v>218.26721063098552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3.4106051316484809E-13</v>
      </c>
      <c r="DP142" s="18">
        <f>DO142*VLOOKUP('Données projet'!$B$14,Paramètres!$A$1:$I$89,3,0)*VLOOKUP('Données projet'!$B$14,Paramètres!$A$1:$I$89,5,0)</f>
        <v>2.7134774427395314E-13</v>
      </c>
      <c r="DQ142" s="14">
        <f t="shared" si="151"/>
        <v>3.6292411711343559E-12</v>
      </c>
      <c r="DR142" s="22">
        <f t="shared" si="124"/>
        <v>6.7935256943361388E-12</v>
      </c>
      <c r="DS142" s="60">
        <f t="shared" si="125"/>
        <v>293.33333333334014</v>
      </c>
      <c r="DT142" s="60">
        <f ca="1">AVERAGE(OFFSET($DS$3,0,0,'Données projet'!$E$14+1,1))-AVERAGE(OFFSET($H$3,0,0,'Données projet'!$E$14+1,1))</f>
        <v>317.13087551964747</v>
      </c>
      <c r="DU142" s="60">
        <f t="shared" si="152"/>
        <v>293.43300041793185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1.7053025658242404E-13</v>
      </c>
      <c r="EK142" s="18">
        <f>EJ142*VLOOKUP('Données projet'!$B$15,Paramètres!$A$1:$I$89,3,0)*VLOOKUP('Données projet'!$B$15,Paramètres!$A$1:$I$89,5,0)</f>
        <v>1.3567387213697657E-13</v>
      </c>
      <c r="EL142" s="14">
        <f t="shared" si="153"/>
        <v>1.9670967679808581E-12</v>
      </c>
      <c r="EM142" s="22">
        <f t="shared" si="127"/>
        <v>3.6623255315385623E-12</v>
      </c>
      <c r="EN142" s="60">
        <f t="shared" si="128"/>
        <v>293.33333333333695</v>
      </c>
      <c r="EO142" s="60">
        <f ca="1">AVERAGE(OFFSET($EN$3,0,0,'Données projet'!$E$15+1,1))-AVERAGE(OFFSET($H$3,0,0,'Données projet'!$E$15+1,1))</f>
        <v>253.03289960511904</v>
      </c>
      <c r="EP142" s="60">
        <f t="shared" si="154"/>
        <v>236.85088713056018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1.7053025658242404E-13</v>
      </c>
      <c r="FF142" s="18">
        <f>FE142*VLOOKUP('Données projet'!$B$16,Paramètres!$A$1:$I$89,3,0)*VLOOKUP('Données projet'!$B$16,Paramètres!$A$1:$I$89,5,0)</f>
        <v>1.4897523215040567E-13</v>
      </c>
      <c r="FG142" s="14">
        <f t="shared" si="155"/>
        <v>2.136562777003313E-12</v>
      </c>
      <c r="FH142" s="22">
        <f t="shared" si="130"/>
        <v>3.9806453659427267E-12</v>
      </c>
      <c r="FI142" s="60">
        <f t="shared" si="131"/>
        <v>293.33333333333729</v>
      </c>
      <c r="FJ142" s="60">
        <f ca="1">AVERAGE(OFFSET($FI$3,0,0,'Données projet'!$E$16+1,1))-AVERAGE(OFFSET($H$3,0,0,'Données projet'!$E$16+1,1))</f>
        <v>274.38315511766132</v>
      </c>
      <c r="FK142" s="60">
        <f t="shared" si="156"/>
        <v>255.96663040027175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-1.1368683772161603E-13</v>
      </c>
      <c r="GA142" s="18">
        <f>FZ142*VLOOKUP('Données projet'!$B$17,Paramètres!$A$1:$I$89,3,0)*VLOOKUP('Données projet'!$B$17,Paramètres!$A$1:$I$89,5,0)</f>
        <v>-9.7543306765146564E-14</v>
      </c>
      <c r="GB142" s="14" t="e">
        <f t="shared" si="157"/>
        <v>#NUM!</v>
      </c>
      <c r="GC142" s="22" t="e">
        <f t="shared" si="133"/>
        <v>#NUM!</v>
      </c>
      <c r="GD142" s="60" t="e">
        <f t="shared" si="134"/>
        <v>#NUM!</v>
      </c>
      <c r="GE142" s="60">
        <f ca="1">AVERAGE(OFFSET($GD$3,0,0,'Données projet'!$E$17+1,1))-AVERAGE(OFFSET($H$3,0,0,'Données projet'!$E$17+1,1))</f>
        <v>445.81166342116865</v>
      </c>
      <c r="GF142" s="60">
        <f t="shared" si="158"/>
        <v>230.82970731138215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5.6843418860808015E-14</v>
      </c>
      <c r="GV142" s="18">
        <f>GU142*VLOOKUP('Données projet'!$B$18,Paramètres!$A$1:$I$89,3,0)*VLOOKUP('Données projet'!$B$18,Paramètres!$A$1:$I$89,5,0)</f>
        <v>4.4337866711430253E-14</v>
      </c>
      <c r="GW142" s="14">
        <f t="shared" si="159"/>
        <v>7.3222115536967035E-13</v>
      </c>
      <c r="GX142" s="22">
        <f t="shared" si="136"/>
        <v>1.3525069634579169E-12</v>
      </c>
      <c r="GY142" s="60">
        <f t="shared" si="137"/>
        <v>293.33333333333468</v>
      </c>
      <c r="GZ142" s="60">
        <f ca="1">AVERAGE(OFFSET($GY$3,0,0,'Données projet'!$E$18+1,1))-AVERAGE(OFFSET($H$3,0,0,'Données projet'!$E$18+1,1))</f>
        <v>289.19475369871481</v>
      </c>
      <c r="HA142" s="60">
        <f t="shared" si="160"/>
        <v>283.48738729114024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projet'!$B$18,Paramètres!$A$1:$I$89,3,0)*0.475*44/12</f>
        <v>0</v>
      </c>
      <c r="HH142" s="23">
        <f>EXP(-LN(2)/25)*HH141+(1-EXP(-LN(2)/25))/(LN(2)/25)*Calculateur!HC142*Calculateur!HE142*VLOOKUP('Données projet'!$B$18,Paramètres!$A$1:$I$89,3,0)*0.475*44/12</f>
        <v>0</v>
      </c>
      <c r="HI142" s="23">
        <f>EXP(-LN(2)/2)*HI141+(1-EXP(-LN(2)/2))/(LN(2)/2)*HC142*HF142*VLOOKUP('Données projet'!$B$18,Paramètres!$A$1:$I$89,3,0)*0.475*44/12</f>
        <v>0</v>
      </c>
      <c r="HJ142" s="24">
        <f t="shared" si="138"/>
        <v>0</v>
      </c>
    </row>
    <row r="143" spans="1:218" s="5" customFormat="1" x14ac:dyDescent="0.3">
      <c r="A143" s="11">
        <f t="shared" si="139"/>
        <v>140</v>
      </c>
      <c r="B143" s="75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8">
        <f t="shared" si="110"/>
        <v>256.66666666666669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2.4666666666666668</v>
      </c>
      <c r="N143" s="14">
        <f>IF('Données projet'!$A$36&gt;35,N142+M143-V142,IF(A143&lt;'Données projet'!$A$36,$K$205^A143,IF(A143='Données projet'!$A$36,'Données projet'!$B$36,N142+M143-V142)))</f>
        <v>281.33333333333269</v>
      </c>
      <c r="O143" s="14">
        <f>N143*VLOOKUP('Données projet'!$B$9,Paramètres!$A$1:$I$89,3,0)*VLOOKUP('Données projet'!$B$9,Paramètres!$A$1:$I$89,5,0)</f>
        <v>272.10559999999941</v>
      </c>
      <c r="P143" s="14">
        <f t="shared" si="141"/>
        <v>65.295928517097721</v>
      </c>
      <c r="Q143" s="22">
        <f t="shared" si="108"/>
        <v>587.64099550061076</v>
      </c>
      <c r="R143" s="60">
        <f t="shared" si="109"/>
        <v>880.97432883394413</v>
      </c>
      <c r="S143" s="60">
        <f ca="1">AVERAGE(OFFSET($R$3,0,0,'Données projet'!$E$9+1,1))-AVERAGE(OFFSET($H$3,0,0,'Données projet'!$E$9+1,1))</f>
        <v>456.86147223520601</v>
      </c>
      <c r="T143" s="60">
        <f t="shared" si="142"/>
        <v>244.45149244446094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2.5579538487363607E-13</v>
      </c>
      <c r="AJ143" s="14">
        <f>AI143*VLOOKUP('Données projet'!$B$10,Paramètres!$A$1:$I$89,3,0)*VLOOKUP('Données projet'!$B$10,Paramètres!$A$1:$I$89,5,0)</f>
        <v>1.6759713616920635E-13</v>
      </c>
      <c r="AK143" s="14">
        <f t="shared" si="143"/>
        <v>2.3709043131075133E-12</v>
      </c>
      <c r="AL143" s="22">
        <f t="shared" si="112"/>
        <v>4.4212233574902864E-12</v>
      </c>
      <c r="AM143" s="60">
        <f t="shared" si="113"/>
        <v>293.33333333333775</v>
      </c>
      <c r="AN143" s="60">
        <f ca="1">AVERAGE(OFFSET($AM$3,0,0,'Données projet'!$E$10+1,1))-AVERAGE(OFFSET($H$3,0,0,'Données projet'!$E$10+1,1))</f>
        <v>170.79567854714986</v>
      </c>
      <c r="AO143" s="60">
        <f t="shared" si="144"/>
        <v>155.92788004111191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-1.1368683772161603E-13</v>
      </c>
      <c r="BE143" s="14">
        <f>BD143*VLOOKUP('Données projet'!$B$11,Paramètres!$A$1:$I$89,3,0)*VLOOKUP('Données projet'!$B$11,Paramètres!$A$1:$I$89,5,0)</f>
        <v>-9.2222762759774927E-14</v>
      </c>
      <c r="BF143" s="14" t="e">
        <f t="shared" si="145"/>
        <v>#NUM!</v>
      </c>
      <c r="BG143" s="22" t="e">
        <f t="shared" si="115"/>
        <v>#NUM!</v>
      </c>
      <c r="BH143" s="60" t="e">
        <f t="shared" si="116"/>
        <v>#NUM!</v>
      </c>
      <c r="BI143" s="60">
        <f ca="1">AVERAGE(OFFSET($BH$3,0,0,'Données projet'!$E$11+1,1))-AVERAGE(OFFSET($H$3,0,0,'Données projet'!$E$11+1,1))</f>
        <v>256.19915261735281</v>
      </c>
      <c r="BJ143" s="60">
        <f t="shared" si="146"/>
        <v>297.47246687305056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-5.6843418860808015E-14</v>
      </c>
      <c r="BZ143" s="14">
        <f>BY143*VLOOKUP('Données projet'!$B$12,Paramètres!$A$1:$I$89,3,0)*VLOOKUP('Données projet'!$B$12,Paramètres!$A$1:$I$89,5,0)</f>
        <v>-5.4092197387944907E-14</v>
      </c>
      <c r="CA143" s="14" t="e">
        <f t="shared" si="147"/>
        <v>#NUM!</v>
      </c>
      <c r="CB143" s="22" t="e">
        <f t="shared" si="118"/>
        <v>#NUM!</v>
      </c>
      <c r="CC143" s="60" t="e">
        <f t="shared" si="119"/>
        <v>#NUM!</v>
      </c>
      <c r="CD143" s="60">
        <f ca="1">AVERAGE(OFFSET($CC$3,0,0,'Données projet'!$E$12+1,1))-AVERAGE(OFFSET($H$3,0,0,'Données projet'!$E$12+1,1))</f>
        <v>353.53401919391234</v>
      </c>
      <c r="CE143" s="60">
        <f t="shared" si="148"/>
        <v>244.7141066773861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2.4666666666666668</v>
      </c>
      <c r="CT143" s="13">
        <f>IF('Données projet'!$A$140&gt;35,CT142+CS143-DB142,IF(A143&lt;'Données projet'!$A$140,$CQ$205^A143,IF(A143='Données projet'!$A$140,'Données projet'!$B$140,CT142+CS143-DB142)))</f>
        <v>281.33333333333269</v>
      </c>
      <c r="CU143" s="18">
        <f>CT143*VLOOKUP('Données projet'!$B$13,Paramètres!$A$1:$I$89,3,0)*VLOOKUP('Données projet'!$B$13,Paramètres!$A$1:$I$89,5,0)</f>
        <v>236.9951999999995</v>
      </c>
      <c r="CV143" s="14">
        <f t="shared" si="149"/>
        <v>57.79255983584131</v>
      </c>
      <c r="CW143" s="22">
        <f t="shared" si="121"/>
        <v>513.42201504742263</v>
      </c>
      <c r="CX143" s="60">
        <f t="shared" si="122"/>
        <v>806.755348380756</v>
      </c>
      <c r="CY143" s="60">
        <f ca="1">AVERAGE(OFFSET($CX$3,0,0,'Données projet'!$E$13+1,1))-AVERAGE(OFFSET($H$3,0,0,'Données projet'!$E$13+1,1))</f>
        <v>403.33327536410098</v>
      </c>
      <c r="CZ143" s="60">
        <f t="shared" si="150"/>
        <v>218.26721063098552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3.4106051316484809E-13</v>
      </c>
      <c r="DP143" s="18">
        <f>DO143*VLOOKUP('Données projet'!$B$14,Paramètres!$A$1:$I$89,3,0)*VLOOKUP('Données projet'!$B$14,Paramètres!$A$1:$I$89,5,0)</f>
        <v>2.7134774427395314E-13</v>
      </c>
      <c r="DQ143" s="14">
        <f t="shared" si="151"/>
        <v>3.6292411711343559E-12</v>
      </c>
      <c r="DR143" s="22">
        <f t="shared" si="124"/>
        <v>6.7935256943361388E-12</v>
      </c>
      <c r="DS143" s="60">
        <f t="shared" si="125"/>
        <v>293.33333333334014</v>
      </c>
      <c r="DT143" s="60">
        <f ca="1">AVERAGE(OFFSET($DS$3,0,0,'Données projet'!$E$14+1,1))-AVERAGE(OFFSET($H$3,0,0,'Données projet'!$E$14+1,1))</f>
        <v>317.13087551964747</v>
      </c>
      <c r="DU143" s="60">
        <f t="shared" si="152"/>
        <v>293.43300041793185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1.7053025658242404E-13</v>
      </c>
      <c r="EK143" s="18">
        <f>EJ143*VLOOKUP('Données projet'!$B$15,Paramètres!$A$1:$I$89,3,0)*VLOOKUP('Données projet'!$B$15,Paramètres!$A$1:$I$89,5,0)</f>
        <v>1.3567387213697657E-13</v>
      </c>
      <c r="EL143" s="14">
        <f t="shared" si="153"/>
        <v>1.9670967679808581E-12</v>
      </c>
      <c r="EM143" s="22">
        <f t="shared" si="127"/>
        <v>3.6623255315385623E-12</v>
      </c>
      <c r="EN143" s="60">
        <f t="shared" si="128"/>
        <v>293.33333333333695</v>
      </c>
      <c r="EO143" s="60">
        <f ca="1">AVERAGE(OFFSET($EN$3,0,0,'Données projet'!$E$15+1,1))-AVERAGE(OFFSET($H$3,0,0,'Données projet'!$E$15+1,1))</f>
        <v>253.03289960511904</v>
      </c>
      <c r="EP143" s="60">
        <f t="shared" si="154"/>
        <v>236.85088713056018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1.7053025658242404E-13</v>
      </c>
      <c r="FF143" s="18">
        <f>FE143*VLOOKUP('Données projet'!$B$16,Paramètres!$A$1:$I$89,3,0)*VLOOKUP('Données projet'!$B$16,Paramètres!$A$1:$I$89,5,0)</f>
        <v>1.4897523215040567E-13</v>
      </c>
      <c r="FG143" s="14">
        <f t="shared" si="155"/>
        <v>2.136562777003313E-12</v>
      </c>
      <c r="FH143" s="22">
        <f t="shared" si="130"/>
        <v>3.9806453659427267E-12</v>
      </c>
      <c r="FI143" s="60">
        <f t="shared" si="131"/>
        <v>293.33333333333729</v>
      </c>
      <c r="FJ143" s="60">
        <f ca="1">AVERAGE(OFFSET($FI$3,0,0,'Données projet'!$E$16+1,1))-AVERAGE(OFFSET($H$3,0,0,'Données projet'!$E$16+1,1))</f>
        <v>274.38315511766132</v>
      </c>
      <c r="FK143" s="60">
        <f t="shared" si="156"/>
        <v>255.96663040027175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-1.1368683772161603E-13</v>
      </c>
      <c r="GA143" s="18">
        <f>FZ143*VLOOKUP('Données projet'!$B$17,Paramètres!$A$1:$I$89,3,0)*VLOOKUP('Données projet'!$B$17,Paramètres!$A$1:$I$89,5,0)</f>
        <v>-9.7543306765146564E-14</v>
      </c>
      <c r="GB143" s="14" t="e">
        <f t="shared" si="157"/>
        <v>#NUM!</v>
      </c>
      <c r="GC143" s="22" t="e">
        <f t="shared" si="133"/>
        <v>#NUM!</v>
      </c>
      <c r="GD143" s="60" t="e">
        <f t="shared" si="134"/>
        <v>#NUM!</v>
      </c>
      <c r="GE143" s="60">
        <f ca="1">AVERAGE(OFFSET($GD$3,0,0,'Données projet'!$E$17+1,1))-AVERAGE(OFFSET($H$3,0,0,'Données projet'!$E$17+1,1))</f>
        <v>445.81166342116865</v>
      </c>
      <c r="GF143" s="60">
        <f t="shared" si="158"/>
        <v>230.82970731138215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5.6843418860808015E-14</v>
      </c>
      <c r="GV143" s="18">
        <f>GU143*VLOOKUP('Données projet'!$B$18,Paramètres!$A$1:$I$89,3,0)*VLOOKUP('Données projet'!$B$18,Paramètres!$A$1:$I$89,5,0)</f>
        <v>4.4337866711430253E-14</v>
      </c>
      <c r="GW143" s="14">
        <f t="shared" si="159"/>
        <v>7.3222115536967035E-13</v>
      </c>
      <c r="GX143" s="22">
        <f t="shared" si="136"/>
        <v>1.3525069634579169E-12</v>
      </c>
      <c r="GY143" s="60">
        <f t="shared" si="137"/>
        <v>293.33333333333468</v>
      </c>
      <c r="GZ143" s="60">
        <f ca="1">AVERAGE(OFFSET($GY$3,0,0,'Données projet'!$E$18+1,1))-AVERAGE(OFFSET($H$3,0,0,'Données projet'!$E$18+1,1))</f>
        <v>289.19475369871481</v>
      </c>
      <c r="HA143" s="60">
        <f t="shared" si="160"/>
        <v>283.48738729114024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projet'!$B$18,Paramètres!$A$1:$I$89,3,0)*0.475*44/12</f>
        <v>0</v>
      </c>
      <c r="HH143" s="23">
        <f>EXP(-LN(2)/25)*HH142+(1-EXP(-LN(2)/25))/(LN(2)/25)*Calculateur!HC143*Calculateur!HE143*VLOOKUP('Données projet'!$B$18,Paramètres!$A$1:$I$89,3,0)*0.475*44/12</f>
        <v>0</v>
      </c>
      <c r="HI143" s="23">
        <f>EXP(-LN(2)/2)*HI142+(1-EXP(-LN(2)/2))/(LN(2)/2)*HC143*HF143*VLOOKUP('Données projet'!$B$18,Paramètres!$A$1:$I$89,3,0)*0.475*44/12</f>
        <v>0</v>
      </c>
      <c r="HJ143" s="24">
        <f t="shared" si="138"/>
        <v>0</v>
      </c>
    </row>
    <row r="144" spans="1:218" s="5" customFormat="1" x14ac:dyDescent="0.3">
      <c r="A144" s="11">
        <f t="shared" si="139"/>
        <v>141</v>
      </c>
      <c r="B144" s="75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8">
        <f t="shared" si="110"/>
        <v>256.66666666666669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2.4666666666666668</v>
      </c>
      <c r="N144" s="14">
        <f>IF('Données projet'!$A$36&gt;35,N143+M144-V143,IF(A144&lt;'Données projet'!$A$36,$K$205^A144,IF(A144='Données projet'!$A$36,'Données projet'!$B$36,N143+M144-V143)))</f>
        <v>283.79999999999933</v>
      </c>
      <c r="O144" s="14">
        <f>N144*VLOOKUP('Données projet'!$B$9,Paramètres!$A$1:$I$89,3,0)*VLOOKUP('Données projet'!$B$9,Paramètres!$A$1:$I$89,5,0)</f>
        <v>274.49135999999936</v>
      </c>
      <c r="P144" s="14">
        <f t="shared" si="141"/>
        <v>65.801532087530063</v>
      </c>
      <c r="Q144" s="22">
        <f t="shared" si="108"/>
        <v>592.67678705244703</v>
      </c>
      <c r="R144" s="60">
        <f t="shared" si="109"/>
        <v>886.01012038578028</v>
      </c>
      <c r="S144" s="60">
        <f ca="1">AVERAGE(OFFSET($R$3,0,0,'Données projet'!$E$9+1,1))-AVERAGE(OFFSET($H$3,0,0,'Données projet'!$E$9+1,1))</f>
        <v>456.86147223520601</v>
      </c>
      <c r="T144" s="60">
        <f t="shared" si="142"/>
        <v>244.45149244446094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2.5579538487363607E-13</v>
      </c>
      <c r="AJ144" s="14">
        <f>AI144*VLOOKUP('Données projet'!$B$10,Paramètres!$A$1:$I$89,3,0)*VLOOKUP('Données projet'!$B$10,Paramètres!$A$1:$I$89,5,0)</f>
        <v>1.6759713616920635E-13</v>
      </c>
      <c r="AK144" s="14">
        <f t="shared" si="143"/>
        <v>2.3709043131075133E-12</v>
      </c>
      <c r="AL144" s="22">
        <f t="shared" si="112"/>
        <v>4.4212233574902864E-12</v>
      </c>
      <c r="AM144" s="60">
        <f t="shared" si="113"/>
        <v>293.33333333333775</v>
      </c>
      <c r="AN144" s="60">
        <f ca="1">AVERAGE(OFFSET($AM$3,0,0,'Données projet'!$E$10+1,1))-AVERAGE(OFFSET($H$3,0,0,'Données projet'!$E$10+1,1))</f>
        <v>170.79567854714986</v>
      </c>
      <c r="AO144" s="60">
        <f t="shared" si="144"/>
        <v>155.92788004111191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-1.1368683772161603E-13</v>
      </c>
      <c r="BE144" s="14">
        <f>BD144*VLOOKUP('Données projet'!$B$11,Paramètres!$A$1:$I$89,3,0)*VLOOKUP('Données projet'!$B$11,Paramètres!$A$1:$I$89,5,0)</f>
        <v>-9.2222762759774927E-14</v>
      </c>
      <c r="BF144" s="14" t="e">
        <f t="shared" si="145"/>
        <v>#NUM!</v>
      </c>
      <c r="BG144" s="22" t="e">
        <f t="shared" si="115"/>
        <v>#NUM!</v>
      </c>
      <c r="BH144" s="60" t="e">
        <f t="shared" si="116"/>
        <v>#NUM!</v>
      </c>
      <c r="BI144" s="60">
        <f ca="1">AVERAGE(OFFSET($BH$3,0,0,'Données projet'!$E$11+1,1))-AVERAGE(OFFSET($H$3,0,0,'Données projet'!$E$11+1,1))</f>
        <v>256.19915261735281</v>
      </c>
      <c r="BJ144" s="60">
        <f t="shared" si="146"/>
        <v>297.47246687305056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-5.6843418860808015E-14</v>
      </c>
      <c r="BZ144" s="14">
        <f>BY144*VLOOKUP('Données projet'!$B$12,Paramètres!$A$1:$I$89,3,0)*VLOOKUP('Données projet'!$B$12,Paramètres!$A$1:$I$89,5,0)</f>
        <v>-5.4092197387944907E-14</v>
      </c>
      <c r="CA144" s="14" t="e">
        <f t="shared" si="147"/>
        <v>#NUM!</v>
      </c>
      <c r="CB144" s="22" t="e">
        <f t="shared" si="118"/>
        <v>#NUM!</v>
      </c>
      <c r="CC144" s="60" t="e">
        <f t="shared" si="119"/>
        <v>#NUM!</v>
      </c>
      <c r="CD144" s="60">
        <f ca="1">AVERAGE(OFFSET($CC$3,0,0,'Données projet'!$E$12+1,1))-AVERAGE(OFFSET($H$3,0,0,'Données projet'!$E$12+1,1))</f>
        <v>353.53401919391234</v>
      </c>
      <c r="CE144" s="60">
        <f t="shared" si="148"/>
        <v>244.7141066773861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2.4666666666666668</v>
      </c>
      <c r="CT144" s="13">
        <f>IF('Données projet'!$A$140&gt;35,CT143+CS144-DB143,IF(A144&lt;'Données projet'!$A$140,$CQ$205^A144,IF(A144='Données projet'!$A$140,'Données projet'!$B$140,CT143+CS144-DB143)))</f>
        <v>283.79999999999933</v>
      </c>
      <c r="CU144" s="18">
        <f>CT144*VLOOKUP('Données projet'!$B$13,Paramètres!$A$1:$I$89,3,0)*VLOOKUP('Données projet'!$B$13,Paramètres!$A$1:$I$89,5,0)</f>
        <v>239.07311999999945</v>
      </c>
      <c r="CV144" s="14">
        <f t="shared" si="149"/>
        <v>58.240062846534769</v>
      </c>
      <c r="CW144" s="22">
        <f t="shared" si="121"/>
        <v>517.82046012438047</v>
      </c>
      <c r="CX144" s="60">
        <f t="shared" si="122"/>
        <v>811.15379345771385</v>
      </c>
      <c r="CY144" s="60">
        <f ca="1">AVERAGE(OFFSET($CX$3,0,0,'Données projet'!$E$13+1,1))-AVERAGE(OFFSET($H$3,0,0,'Données projet'!$E$13+1,1))</f>
        <v>403.33327536410098</v>
      </c>
      <c r="CZ144" s="60">
        <f t="shared" si="150"/>
        <v>218.26721063098552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3.4106051316484809E-13</v>
      </c>
      <c r="DP144" s="18">
        <f>DO144*VLOOKUP('Données projet'!$B$14,Paramètres!$A$1:$I$89,3,0)*VLOOKUP('Données projet'!$B$14,Paramètres!$A$1:$I$89,5,0)</f>
        <v>2.7134774427395314E-13</v>
      </c>
      <c r="DQ144" s="14">
        <f t="shared" si="151"/>
        <v>3.6292411711343559E-12</v>
      </c>
      <c r="DR144" s="22">
        <f t="shared" si="124"/>
        <v>6.7935256943361388E-12</v>
      </c>
      <c r="DS144" s="60">
        <f t="shared" si="125"/>
        <v>293.33333333334014</v>
      </c>
      <c r="DT144" s="60">
        <f ca="1">AVERAGE(OFFSET($DS$3,0,0,'Données projet'!$E$14+1,1))-AVERAGE(OFFSET($H$3,0,0,'Données projet'!$E$14+1,1))</f>
        <v>317.13087551964747</v>
      </c>
      <c r="DU144" s="60">
        <f t="shared" si="152"/>
        <v>293.43300041793185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1.7053025658242404E-13</v>
      </c>
      <c r="EK144" s="18">
        <f>EJ144*VLOOKUP('Données projet'!$B$15,Paramètres!$A$1:$I$89,3,0)*VLOOKUP('Données projet'!$B$15,Paramètres!$A$1:$I$89,5,0)</f>
        <v>1.3567387213697657E-13</v>
      </c>
      <c r="EL144" s="14">
        <f t="shared" si="153"/>
        <v>1.9670967679808581E-12</v>
      </c>
      <c r="EM144" s="22">
        <f t="shared" si="127"/>
        <v>3.6623255315385623E-12</v>
      </c>
      <c r="EN144" s="60">
        <f t="shared" si="128"/>
        <v>293.33333333333695</v>
      </c>
      <c r="EO144" s="60">
        <f ca="1">AVERAGE(OFFSET($EN$3,0,0,'Données projet'!$E$15+1,1))-AVERAGE(OFFSET($H$3,0,0,'Données projet'!$E$15+1,1))</f>
        <v>253.03289960511904</v>
      </c>
      <c r="EP144" s="60">
        <f t="shared" si="154"/>
        <v>236.85088713056018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1.7053025658242404E-13</v>
      </c>
      <c r="FF144" s="18">
        <f>FE144*VLOOKUP('Données projet'!$B$16,Paramètres!$A$1:$I$89,3,0)*VLOOKUP('Données projet'!$B$16,Paramètres!$A$1:$I$89,5,0)</f>
        <v>1.4897523215040567E-13</v>
      </c>
      <c r="FG144" s="14">
        <f t="shared" si="155"/>
        <v>2.136562777003313E-12</v>
      </c>
      <c r="FH144" s="22">
        <f t="shared" si="130"/>
        <v>3.9806453659427267E-12</v>
      </c>
      <c r="FI144" s="60">
        <f t="shared" si="131"/>
        <v>293.33333333333729</v>
      </c>
      <c r="FJ144" s="60">
        <f ca="1">AVERAGE(OFFSET($FI$3,0,0,'Données projet'!$E$16+1,1))-AVERAGE(OFFSET($H$3,0,0,'Données projet'!$E$16+1,1))</f>
        <v>274.38315511766132</v>
      </c>
      <c r="FK144" s="60">
        <f t="shared" si="156"/>
        <v>255.96663040027175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-1.1368683772161603E-13</v>
      </c>
      <c r="GA144" s="18">
        <f>FZ144*VLOOKUP('Données projet'!$B$17,Paramètres!$A$1:$I$89,3,0)*VLOOKUP('Données projet'!$B$17,Paramètres!$A$1:$I$89,5,0)</f>
        <v>-9.7543306765146564E-14</v>
      </c>
      <c r="GB144" s="14" t="e">
        <f t="shared" si="157"/>
        <v>#NUM!</v>
      </c>
      <c r="GC144" s="22" t="e">
        <f t="shared" si="133"/>
        <v>#NUM!</v>
      </c>
      <c r="GD144" s="60" t="e">
        <f t="shared" si="134"/>
        <v>#NUM!</v>
      </c>
      <c r="GE144" s="60">
        <f ca="1">AVERAGE(OFFSET($GD$3,0,0,'Données projet'!$E$17+1,1))-AVERAGE(OFFSET($H$3,0,0,'Données projet'!$E$17+1,1))</f>
        <v>445.81166342116865</v>
      </c>
      <c r="GF144" s="60">
        <f t="shared" si="158"/>
        <v>230.82970731138215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5.6843418860808015E-14</v>
      </c>
      <c r="GV144" s="18">
        <f>GU144*VLOOKUP('Données projet'!$B$18,Paramètres!$A$1:$I$89,3,0)*VLOOKUP('Données projet'!$B$18,Paramètres!$A$1:$I$89,5,0)</f>
        <v>4.4337866711430253E-14</v>
      </c>
      <c r="GW144" s="14">
        <f t="shared" si="159"/>
        <v>7.3222115536967035E-13</v>
      </c>
      <c r="GX144" s="22">
        <f t="shared" si="136"/>
        <v>1.3525069634579169E-12</v>
      </c>
      <c r="GY144" s="60">
        <f t="shared" si="137"/>
        <v>293.33333333333468</v>
      </c>
      <c r="GZ144" s="60">
        <f ca="1">AVERAGE(OFFSET($GY$3,0,0,'Données projet'!$E$18+1,1))-AVERAGE(OFFSET($H$3,0,0,'Données projet'!$E$18+1,1))</f>
        <v>289.19475369871481</v>
      </c>
      <c r="HA144" s="60">
        <f t="shared" si="160"/>
        <v>283.48738729114024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projet'!$B$18,Paramètres!$A$1:$I$89,3,0)*0.475*44/12</f>
        <v>0</v>
      </c>
      <c r="HH144" s="23">
        <f>EXP(-LN(2)/25)*HH143+(1-EXP(-LN(2)/25))/(LN(2)/25)*Calculateur!HC144*Calculateur!HE144*VLOOKUP('Données projet'!$B$18,Paramètres!$A$1:$I$89,3,0)*0.475*44/12</f>
        <v>0</v>
      </c>
      <c r="HI144" s="23">
        <f>EXP(-LN(2)/2)*HI143+(1-EXP(-LN(2)/2))/(LN(2)/2)*HC144*HF144*VLOOKUP('Données projet'!$B$18,Paramètres!$A$1:$I$89,3,0)*0.475*44/12</f>
        <v>0</v>
      </c>
      <c r="HJ144" s="24">
        <f t="shared" si="138"/>
        <v>0</v>
      </c>
    </row>
    <row r="145" spans="1:218" s="5" customFormat="1" x14ac:dyDescent="0.3">
      <c r="A145" s="11">
        <f t="shared" si="139"/>
        <v>142</v>
      </c>
      <c r="B145" s="75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8">
        <f t="shared" si="110"/>
        <v>256.66666666666669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2.4666666666666668</v>
      </c>
      <c r="N145" s="14">
        <f>IF('Données projet'!$A$36&gt;35,N144+M145-V144,IF(A145&lt;'Données projet'!$A$36,$K$205^A145,IF(A145='Données projet'!$A$36,'Données projet'!$B$36,N144+M145-V144)))</f>
        <v>286.26666666666597</v>
      </c>
      <c r="O145" s="14">
        <f>N145*VLOOKUP('Données projet'!$B$9,Paramètres!$A$1:$I$89,3,0)*VLOOKUP('Données projet'!$B$9,Paramètres!$A$1:$I$89,5,0)</f>
        <v>276.87711999999937</v>
      </c>
      <c r="P145" s="14">
        <f t="shared" si="141"/>
        <v>66.306624391505196</v>
      </c>
      <c r="Q145" s="22">
        <f t="shared" si="108"/>
        <v>597.71168814853706</v>
      </c>
      <c r="R145" s="60">
        <f t="shared" si="109"/>
        <v>891.04502148187044</v>
      </c>
      <c r="S145" s="60">
        <f ca="1">AVERAGE(OFFSET($R$3,0,0,'Données projet'!$E$9+1,1))-AVERAGE(OFFSET($H$3,0,0,'Données projet'!$E$9+1,1))</f>
        <v>456.86147223520601</v>
      </c>
      <c r="T145" s="60">
        <f t="shared" si="142"/>
        <v>244.45149244446094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2.5579538487363607E-13</v>
      </c>
      <c r="AJ145" s="14">
        <f>AI145*VLOOKUP('Données projet'!$B$10,Paramètres!$A$1:$I$89,3,0)*VLOOKUP('Données projet'!$B$10,Paramètres!$A$1:$I$89,5,0)</f>
        <v>1.6759713616920635E-13</v>
      </c>
      <c r="AK145" s="14">
        <f t="shared" si="143"/>
        <v>2.3709043131075133E-12</v>
      </c>
      <c r="AL145" s="22">
        <f t="shared" si="112"/>
        <v>4.4212233574902864E-12</v>
      </c>
      <c r="AM145" s="60">
        <f t="shared" si="113"/>
        <v>293.33333333333775</v>
      </c>
      <c r="AN145" s="60">
        <f ca="1">AVERAGE(OFFSET($AM$3,0,0,'Données projet'!$E$10+1,1))-AVERAGE(OFFSET($H$3,0,0,'Données projet'!$E$10+1,1))</f>
        <v>170.79567854714986</v>
      </c>
      <c r="AO145" s="60">
        <f t="shared" si="144"/>
        <v>155.92788004111191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-1.1368683772161603E-13</v>
      </c>
      <c r="BE145" s="14">
        <f>BD145*VLOOKUP('Données projet'!$B$11,Paramètres!$A$1:$I$89,3,0)*VLOOKUP('Données projet'!$B$11,Paramètres!$A$1:$I$89,5,0)</f>
        <v>-9.2222762759774927E-14</v>
      </c>
      <c r="BF145" s="14" t="e">
        <f t="shared" si="145"/>
        <v>#NUM!</v>
      </c>
      <c r="BG145" s="22" t="e">
        <f t="shared" si="115"/>
        <v>#NUM!</v>
      </c>
      <c r="BH145" s="60" t="e">
        <f t="shared" si="116"/>
        <v>#NUM!</v>
      </c>
      <c r="BI145" s="60">
        <f ca="1">AVERAGE(OFFSET($BH$3,0,0,'Données projet'!$E$11+1,1))-AVERAGE(OFFSET($H$3,0,0,'Données projet'!$E$11+1,1))</f>
        <v>256.19915261735281</v>
      </c>
      <c r="BJ145" s="60">
        <f t="shared" si="146"/>
        <v>297.47246687305056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-5.6843418860808015E-14</v>
      </c>
      <c r="BZ145" s="14">
        <f>BY145*VLOOKUP('Données projet'!$B$12,Paramètres!$A$1:$I$89,3,0)*VLOOKUP('Données projet'!$B$12,Paramètres!$A$1:$I$89,5,0)</f>
        <v>-5.4092197387944907E-14</v>
      </c>
      <c r="CA145" s="14" t="e">
        <f t="shared" si="147"/>
        <v>#NUM!</v>
      </c>
      <c r="CB145" s="22" t="e">
        <f t="shared" si="118"/>
        <v>#NUM!</v>
      </c>
      <c r="CC145" s="60" t="e">
        <f t="shared" si="119"/>
        <v>#NUM!</v>
      </c>
      <c r="CD145" s="60">
        <f ca="1">AVERAGE(OFFSET($CC$3,0,0,'Données projet'!$E$12+1,1))-AVERAGE(OFFSET($H$3,0,0,'Données projet'!$E$12+1,1))</f>
        <v>353.53401919391234</v>
      </c>
      <c r="CE145" s="60">
        <f t="shared" si="148"/>
        <v>244.7141066773861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2.4666666666666668</v>
      </c>
      <c r="CT145" s="13">
        <f>IF('Données projet'!$A$140&gt;35,CT144+CS145-DB144,IF(A145&lt;'Données projet'!$A$140,$CQ$205^A145,IF(A145='Données projet'!$A$140,'Données projet'!$B$140,CT144+CS145-DB144)))</f>
        <v>286.26666666666597</v>
      </c>
      <c r="CU145" s="18">
        <f>CT145*VLOOKUP('Données projet'!$B$13,Paramètres!$A$1:$I$89,3,0)*VLOOKUP('Données projet'!$B$13,Paramètres!$A$1:$I$89,5,0)</f>
        <v>241.15103999999943</v>
      </c>
      <c r="CV145" s="14">
        <f t="shared" si="149"/>
        <v>58.687113342071548</v>
      </c>
      <c r="CW145" s="22">
        <f t="shared" si="121"/>
        <v>522.21811707077359</v>
      </c>
      <c r="CX145" s="60">
        <f t="shared" si="122"/>
        <v>815.55145040410684</v>
      </c>
      <c r="CY145" s="60">
        <f ca="1">AVERAGE(OFFSET($CX$3,0,0,'Données projet'!$E$13+1,1))-AVERAGE(OFFSET($H$3,0,0,'Données projet'!$E$13+1,1))</f>
        <v>403.33327536410098</v>
      </c>
      <c r="CZ145" s="60">
        <f t="shared" si="150"/>
        <v>218.26721063098552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3.4106051316484809E-13</v>
      </c>
      <c r="DP145" s="18">
        <f>DO145*VLOOKUP('Données projet'!$B$14,Paramètres!$A$1:$I$89,3,0)*VLOOKUP('Données projet'!$B$14,Paramètres!$A$1:$I$89,5,0)</f>
        <v>2.7134774427395314E-13</v>
      </c>
      <c r="DQ145" s="14">
        <f t="shared" si="151"/>
        <v>3.6292411711343559E-12</v>
      </c>
      <c r="DR145" s="22">
        <f t="shared" si="124"/>
        <v>6.7935256943361388E-12</v>
      </c>
      <c r="DS145" s="60">
        <f t="shared" si="125"/>
        <v>293.33333333334014</v>
      </c>
      <c r="DT145" s="60">
        <f ca="1">AVERAGE(OFFSET($DS$3,0,0,'Données projet'!$E$14+1,1))-AVERAGE(OFFSET($H$3,0,0,'Données projet'!$E$14+1,1))</f>
        <v>317.13087551964747</v>
      </c>
      <c r="DU145" s="60">
        <f t="shared" si="152"/>
        <v>293.43300041793185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1.7053025658242404E-13</v>
      </c>
      <c r="EK145" s="18">
        <f>EJ145*VLOOKUP('Données projet'!$B$15,Paramètres!$A$1:$I$89,3,0)*VLOOKUP('Données projet'!$B$15,Paramètres!$A$1:$I$89,5,0)</f>
        <v>1.3567387213697657E-13</v>
      </c>
      <c r="EL145" s="14">
        <f t="shared" si="153"/>
        <v>1.9670967679808581E-12</v>
      </c>
      <c r="EM145" s="22">
        <f t="shared" si="127"/>
        <v>3.6623255315385623E-12</v>
      </c>
      <c r="EN145" s="60">
        <f t="shared" si="128"/>
        <v>293.33333333333695</v>
      </c>
      <c r="EO145" s="60">
        <f ca="1">AVERAGE(OFFSET($EN$3,0,0,'Données projet'!$E$15+1,1))-AVERAGE(OFFSET($H$3,0,0,'Données projet'!$E$15+1,1))</f>
        <v>253.03289960511904</v>
      </c>
      <c r="EP145" s="60">
        <f t="shared" si="154"/>
        <v>236.85088713056018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1.7053025658242404E-13</v>
      </c>
      <c r="FF145" s="18">
        <f>FE145*VLOOKUP('Données projet'!$B$16,Paramètres!$A$1:$I$89,3,0)*VLOOKUP('Données projet'!$B$16,Paramètres!$A$1:$I$89,5,0)</f>
        <v>1.4897523215040567E-13</v>
      </c>
      <c r="FG145" s="14">
        <f t="shared" si="155"/>
        <v>2.136562777003313E-12</v>
      </c>
      <c r="FH145" s="22">
        <f t="shared" si="130"/>
        <v>3.9806453659427267E-12</v>
      </c>
      <c r="FI145" s="60">
        <f t="shared" si="131"/>
        <v>293.33333333333729</v>
      </c>
      <c r="FJ145" s="60">
        <f ca="1">AVERAGE(OFFSET($FI$3,0,0,'Données projet'!$E$16+1,1))-AVERAGE(OFFSET($H$3,0,0,'Données projet'!$E$16+1,1))</f>
        <v>274.38315511766132</v>
      </c>
      <c r="FK145" s="60">
        <f t="shared" si="156"/>
        <v>255.96663040027175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-1.1368683772161603E-13</v>
      </c>
      <c r="GA145" s="18">
        <f>FZ145*VLOOKUP('Données projet'!$B$17,Paramètres!$A$1:$I$89,3,0)*VLOOKUP('Données projet'!$B$17,Paramètres!$A$1:$I$89,5,0)</f>
        <v>-9.7543306765146564E-14</v>
      </c>
      <c r="GB145" s="14" t="e">
        <f t="shared" si="157"/>
        <v>#NUM!</v>
      </c>
      <c r="GC145" s="22" t="e">
        <f t="shared" si="133"/>
        <v>#NUM!</v>
      </c>
      <c r="GD145" s="60" t="e">
        <f t="shared" si="134"/>
        <v>#NUM!</v>
      </c>
      <c r="GE145" s="60">
        <f ca="1">AVERAGE(OFFSET($GD$3,0,0,'Données projet'!$E$17+1,1))-AVERAGE(OFFSET($H$3,0,0,'Données projet'!$E$17+1,1))</f>
        <v>445.81166342116865</v>
      </c>
      <c r="GF145" s="60">
        <f t="shared" si="158"/>
        <v>230.82970731138215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5.6843418860808015E-14</v>
      </c>
      <c r="GV145" s="18">
        <f>GU145*VLOOKUP('Données projet'!$B$18,Paramètres!$A$1:$I$89,3,0)*VLOOKUP('Données projet'!$B$18,Paramètres!$A$1:$I$89,5,0)</f>
        <v>4.4337866711430253E-14</v>
      </c>
      <c r="GW145" s="14">
        <f t="shared" si="159"/>
        <v>7.3222115536967035E-13</v>
      </c>
      <c r="GX145" s="22">
        <f t="shared" si="136"/>
        <v>1.3525069634579169E-12</v>
      </c>
      <c r="GY145" s="60">
        <f t="shared" si="137"/>
        <v>293.33333333333468</v>
      </c>
      <c r="GZ145" s="60">
        <f ca="1">AVERAGE(OFFSET($GY$3,0,0,'Données projet'!$E$18+1,1))-AVERAGE(OFFSET($H$3,0,0,'Données projet'!$E$18+1,1))</f>
        <v>289.19475369871481</v>
      </c>
      <c r="HA145" s="60">
        <f t="shared" si="160"/>
        <v>283.48738729114024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projet'!$B$18,Paramètres!$A$1:$I$89,3,0)*0.475*44/12</f>
        <v>0</v>
      </c>
      <c r="HH145" s="23">
        <f>EXP(-LN(2)/25)*HH144+(1-EXP(-LN(2)/25))/(LN(2)/25)*Calculateur!HC145*Calculateur!HE145*VLOOKUP('Données projet'!$B$18,Paramètres!$A$1:$I$89,3,0)*0.475*44/12</f>
        <v>0</v>
      </c>
      <c r="HI145" s="23">
        <f>EXP(-LN(2)/2)*HI144+(1-EXP(-LN(2)/2))/(LN(2)/2)*HC145*HF145*VLOOKUP('Données projet'!$B$18,Paramètres!$A$1:$I$89,3,0)*0.475*44/12</f>
        <v>0</v>
      </c>
      <c r="HJ145" s="24">
        <f t="shared" si="138"/>
        <v>0</v>
      </c>
    </row>
    <row r="146" spans="1:218" s="5" customFormat="1" x14ac:dyDescent="0.3">
      <c r="A146" s="11">
        <f t="shared" si="139"/>
        <v>143</v>
      </c>
      <c r="B146" s="75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8">
        <f t="shared" si="110"/>
        <v>256.66666666666669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2.4666666666666668</v>
      </c>
      <c r="N146" s="14">
        <f>IF('Données projet'!$A$36&gt;35,N145+M146-V145,IF(A146&lt;'Données projet'!$A$36,$K$205^A146,IF(A146='Données projet'!$A$36,'Données projet'!$B$36,N145+M146-V145)))</f>
        <v>288.73333333333261</v>
      </c>
      <c r="O146" s="14">
        <f>N146*VLOOKUP('Données projet'!$B$9,Paramètres!$A$1:$I$89,3,0)*VLOOKUP('Données projet'!$B$9,Paramètres!$A$1:$I$89,5,0)</f>
        <v>279.26287999999931</v>
      </c>
      <c r="P146" s="14">
        <f t="shared" si="141"/>
        <v>66.811210344886589</v>
      </c>
      <c r="Q146" s="22">
        <f t="shared" si="108"/>
        <v>602.7457073506763</v>
      </c>
      <c r="R146" s="60">
        <f t="shared" si="109"/>
        <v>896.07904068400967</v>
      </c>
      <c r="S146" s="60">
        <f ca="1">AVERAGE(OFFSET($R$3,0,0,'Données projet'!$E$9+1,1))-AVERAGE(OFFSET($H$3,0,0,'Données projet'!$E$9+1,1))</f>
        <v>456.86147223520601</v>
      </c>
      <c r="T146" s="60">
        <f t="shared" si="142"/>
        <v>244.45149244446094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2.5579538487363607E-13</v>
      </c>
      <c r="AJ146" s="14">
        <f>AI146*VLOOKUP('Données projet'!$B$10,Paramètres!$A$1:$I$89,3,0)*VLOOKUP('Données projet'!$B$10,Paramètres!$A$1:$I$89,5,0)</f>
        <v>1.6759713616920635E-13</v>
      </c>
      <c r="AK146" s="14">
        <f t="shared" si="143"/>
        <v>2.3709043131075133E-12</v>
      </c>
      <c r="AL146" s="22">
        <f t="shared" si="112"/>
        <v>4.4212233574902864E-12</v>
      </c>
      <c r="AM146" s="60">
        <f t="shared" si="113"/>
        <v>293.33333333333775</v>
      </c>
      <c r="AN146" s="60">
        <f ca="1">AVERAGE(OFFSET($AM$3,0,0,'Données projet'!$E$10+1,1))-AVERAGE(OFFSET($H$3,0,0,'Données projet'!$E$10+1,1))</f>
        <v>170.79567854714986</v>
      </c>
      <c r="AO146" s="60">
        <f t="shared" si="144"/>
        <v>155.92788004111191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-1.1368683772161603E-13</v>
      </c>
      <c r="BE146" s="14">
        <f>BD146*VLOOKUP('Données projet'!$B$11,Paramètres!$A$1:$I$89,3,0)*VLOOKUP('Données projet'!$B$11,Paramètres!$A$1:$I$89,5,0)</f>
        <v>-9.2222762759774927E-14</v>
      </c>
      <c r="BF146" s="14" t="e">
        <f t="shared" si="145"/>
        <v>#NUM!</v>
      </c>
      <c r="BG146" s="22" t="e">
        <f t="shared" si="115"/>
        <v>#NUM!</v>
      </c>
      <c r="BH146" s="60" t="e">
        <f t="shared" si="116"/>
        <v>#NUM!</v>
      </c>
      <c r="BI146" s="60">
        <f ca="1">AVERAGE(OFFSET($BH$3,0,0,'Données projet'!$E$11+1,1))-AVERAGE(OFFSET($H$3,0,0,'Données projet'!$E$11+1,1))</f>
        <v>256.19915261735281</v>
      </c>
      <c r="BJ146" s="60">
        <f t="shared" si="146"/>
        <v>297.47246687305056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-5.6843418860808015E-14</v>
      </c>
      <c r="BZ146" s="14">
        <f>BY146*VLOOKUP('Données projet'!$B$12,Paramètres!$A$1:$I$89,3,0)*VLOOKUP('Données projet'!$B$12,Paramètres!$A$1:$I$89,5,0)</f>
        <v>-5.4092197387944907E-14</v>
      </c>
      <c r="CA146" s="14" t="e">
        <f t="shared" si="147"/>
        <v>#NUM!</v>
      </c>
      <c r="CB146" s="22" t="e">
        <f t="shared" si="118"/>
        <v>#NUM!</v>
      </c>
      <c r="CC146" s="60" t="e">
        <f t="shared" si="119"/>
        <v>#NUM!</v>
      </c>
      <c r="CD146" s="60">
        <f ca="1">AVERAGE(OFFSET($CC$3,0,0,'Données projet'!$E$12+1,1))-AVERAGE(OFFSET($H$3,0,0,'Données projet'!$E$12+1,1))</f>
        <v>353.53401919391234</v>
      </c>
      <c r="CE146" s="60">
        <f t="shared" si="148"/>
        <v>244.7141066773861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2.4666666666666668</v>
      </c>
      <c r="CT146" s="13">
        <f>IF('Données projet'!$A$140&gt;35,CT145+CS146-DB145,IF(A146&lt;'Données projet'!$A$140,$CQ$205^A146,IF(A146='Données projet'!$A$140,'Données projet'!$B$140,CT145+CS146-DB145)))</f>
        <v>288.73333333333261</v>
      </c>
      <c r="CU146" s="18">
        <f>CT146*VLOOKUP('Données projet'!$B$13,Paramètres!$A$1:$I$89,3,0)*VLOOKUP('Données projet'!$B$13,Paramètres!$A$1:$I$89,5,0)</f>
        <v>243.22895999999943</v>
      </c>
      <c r="CV146" s="14">
        <f t="shared" si="149"/>
        <v>59.133715673417363</v>
      </c>
      <c r="CW146" s="22">
        <f t="shared" si="121"/>
        <v>526.61499346453422</v>
      </c>
      <c r="CX146" s="60">
        <f t="shared" si="122"/>
        <v>819.94832679786759</v>
      </c>
      <c r="CY146" s="60">
        <f ca="1">AVERAGE(OFFSET($CX$3,0,0,'Données projet'!$E$13+1,1))-AVERAGE(OFFSET($H$3,0,0,'Données projet'!$E$13+1,1))</f>
        <v>403.33327536410098</v>
      </c>
      <c r="CZ146" s="60">
        <f t="shared" si="150"/>
        <v>218.26721063098552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3.4106051316484809E-13</v>
      </c>
      <c r="DP146" s="18">
        <f>DO146*VLOOKUP('Données projet'!$B$14,Paramètres!$A$1:$I$89,3,0)*VLOOKUP('Données projet'!$B$14,Paramètres!$A$1:$I$89,5,0)</f>
        <v>2.7134774427395314E-13</v>
      </c>
      <c r="DQ146" s="14">
        <f t="shared" si="151"/>
        <v>3.6292411711343559E-12</v>
      </c>
      <c r="DR146" s="22">
        <f t="shared" si="124"/>
        <v>6.7935256943361388E-12</v>
      </c>
      <c r="DS146" s="60">
        <f t="shared" si="125"/>
        <v>293.33333333334014</v>
      </c>
      <c r="DT146" s="60">
        <f ca="1">AVERAGE(OFFSET($DS$3,0,0,'Données projet'!$E$14+1,1))-AVERAGE(OFFSET($H$3,0,0,'Données projet'!$E$14+1,1))</f>
        <v>317.13087551964747</v>
      </c>
      <c r="DU146" s="60">
        <f t="shared" si="152"/>
        <v>293.43300041793185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1.7053025658242404E-13</v>
      </c>
      <c r="EK146" s="18">
        <f>EJ146*VLOOKUP('Données projet'!$B$15,Paramètres!$A$1:$I$89,3,0)*VLOOKUP('Données projet'!$B$15,Paramètres!$A$1:$I$89,5,0)</f>
        <v>1.3567387213697657E-13</v>
      </c>
      <c r="EL146" s="14">
        <f t="shared" si="153"/>
        <v>1.9670967679808581E-12</v>
      </c>
      <c r="EM146" s="22">
        <f t="shared" si="127"/>
        <v>3.6623255315385623E-12</v>
      </c>
      <c r="EN146" s="60">
        <f t="shared" si="128"/>
        <v>293.33333333333695</v>
      </c>
      <c r="EO146" s="60">
        <f ca="1">AVERAGE(OFFSET($EN$3,0,0,'Données projet'!$E$15+1,1))-AVERAGE(OFFSET($H$3,0,0,'Données projet'!$E$15+1,1))</f>
        <v>253.03289960511904</v>
      </c>
      <c r="EP146" s="60">
        <f t="shared" si="154"/>
        <v>236.85088713056018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1.7053025658242404E-13</v>
      </c>
      <c r="FF146" s="18">
        <f>FE146*VLOOKUP('Données projet'!$B$16,Paramètres!$A$1:$I$89,3,0)*VLOOKUP('Données projet'!$B$16,Paramètres!$A$1:$I$89,5,0)</f>
        <v>1.4897523215040567E-13</v>
      </c>
      <c r="FG146" s="14">
        <f t="shared" si="155"/>
        <v>2.136562777003313E-12</v>
      </c>
      <c r="FH146" s="22">
        <f t="shared" si="130"/>
        <v>3.9806453659427267E-12</v>
      </c>
      <c r="FI146" s="60">
        <f t="shared" si="131"/>
        <v>293.33333333333729</v>
      </c>
      <c r="FJ146" s="60">
        <f ca="1">AVERAGE(OFFSET($FI$3,0,0,'Données projet'!$E$16+1,1))-AVERAGE(OFFSET($H$3,0,0,'Données projet'!$E$16+1,1))</f>
        <v>274.38315511766132</v>
      </c>
      <c r="FK146" s="60">
        <f t="shared" si="156"/>
        <v>255.96663040027175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-1.1368683772161603E-13</v>
      </c>
      <c r="GA146" s="18">
        <f>FZ146*VLOOKUP('Données projet'!$B$17,Paramètres!$A$1:$I$89,3,0)*VLOOKUP('Données projet'!$B$17,Paramètres!$A$1:$I$89,5,0)</f>
        <v>-9.7543306765146564E-14</v>
      </c>
      <c r="GB146" s="14" t="e">
        <f t="shared" si="157"/>
        <v>#NUM!</v>
      </c>
      <c r="GC146" s="22" t="e">
        <f t="shared" si="133"/>
        <v>#NUM!</v>
      </c>
      <c r="GD146" s="60" t="e">
        <f t="shared" si="134"/>
        <v>#NUM!</v>
      </c>
      <c r="GE146" s="60">
        <f ca="1">AVERAGE(OFFSET($GD$3,0,0,'Données projet'!$E$17+1,1))-AVERAGE(OFFSET($H$3,0,0,'Données projet'!$E$17+1,1))</f>
        <v>445.81166342116865</v>
      </c>
      <c r="GF146" s="60">
        <f t="shared" si="158"/>
        <v>230.82970731138215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5.6843418860808015E-14</v>
      </c>
      <c r="GV146" s="18">
        <f>GU146*VLOOKUP('Données projet'!$B$18,Paramètres!$A$1:$I$89,3,0)*VLOOKUP('Données projet'!$B$18,Paramètres!$A$1:$I$89,5,0)</f>
        <v>4.4337866711430253E-14</v>
      </c>
      <c r="GW146" s="14">
        <f t="shared" si="159"/>
        <v>7.3222115536967035E-13</v>
      </c>
      <c r="GX146" s="22">
        <f t="shared" si="136"/>
        <v>1.3525069634579169E-12</v>
      </c>
      <c r="GY146" s="60">
        <f t="shared" si="137"/>
        <v>293.33333333333468</v>
      </c>
      <c r="GZ146" s="60">
        <f ca="1">AVERAGE(OFFSET($GY$3,0,0,'Données projet'!$E$18+1,1))-AVERAGE(OFFSET($H$3,0,0,'Données projet'!$E$18+1,1))</f>
        <v>289.19475369871481</v>
      </c>
      <c r="HA146" s="60">
        <f t="shared" si="160"/>
        <v>283.48738729114024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projet'!$B$18,Paramètres!$A$1:$I$89,3,0)*0.475*44/12</f>
        <v>0</v>
      </c>
      <c r="HH146" s="23">
        <f>EXP(-LN(2)/25)*HH145+(1-EXP(-LN(2)/25))/(LN(2)/25)*Calculateur!HC146*Calculateur!HE146*VLOOKUP('Données projet'!$B$18,Paramètres!$A$1:$I$89,3,0)*0.475*44/12</f>
        <v>0</v>
      </c>
      <c r="HI146" s="23">
        <f>EXP(-LN(2)/2)*HI145+(1-EXP(-LN(2)/2))/(LN(2)/2)*HC146*HF146*VLOOKUP('Données projet'!$B$18,Paramètres!$A$1:$I$89,3,0)*0.475*44/12</f>
        <v>0</v>
      </c>
      <c r="HJ146" s="24">
        <f t="shared" si="138"/>
        <v>0</v>
      </c>
    </row>
    <row r="147" spans="1:218" s="5" customFormat="1" x14ac:dyDescent="0.3">
      <c r="A147" s="11">
        <f t="shared" si="139"/>
        <v>144</v>
      </c>
      <c r="B147" s="75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8">
        <f t="shared" si="110"/>
        <v>256.66666666666669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2.4666666666666668</v>
      </c>
      <c r="N147" s="14">
        <f>IF('Données projet'!$A$36&gt;35,N146+M147-V146,IF(A147&lt;'Données projet'!$A$36,$K$205^A147,IF(A147='Données projet'!$A$36,'Données projet'!$B$36,N146+M147-V146)))</f>
        <v>291.19999999999925</v>
      </c>
      <c r="O147" s="14">
        <f>N147*VLOOKUP('Données projet'!$B$9,Paramètres!$A$1:$I$89,3,0)*VLOOKUP('Données projet'!$B$9,Paramètres!$A$1:$I$89,5,0)</f>
        <v>281.64863999999926</v>
      </c>
      <c r="P147" s="14">
        <f t="shared" si="141"/>
        <v>67.315294774697563</v>
      </c>
      <c r="Q147" s="22">
        <f t="shared" si="108"/>
        <v>607.77885306593032</v>
      </c>
      <c r="R147" s="60">
        <f t="shared" si="109"/>
        <v>901.11218639926369</v>
      </c>
      <c r="S147" s="60">
        <f ca="1">AVERAGE(OFFSET($R$3,0,0,'Données projet'!$E$9+1,1))-AVERAGE(OFFSET($H$3,0,0,'Données projet'!$E$9+1,1))</f>
        <v>456.86147223520601</v>
      </c>
      <c r="T147" s="60">
        <f t="shared" si="142"/>
        <v>244.45149244446094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2.5579538487363607E-13</v>
      </c>
      <c r="AJ147" s="14">
        <f>AI147*VLOOKUP('Données projet'!$B$10,Paramètres!$A$1:$I$89,3,0)*VLOOKUP('Données projet'!$B$10,Paramètres!$A$1:$I$89,5,0)</f>
        <v>1.6759713616920635E-13</v>
      </c>
      <c r="AK147" s="14">
        <f t="shared" si="143"/>
        <v>2.3709043131075133E-12</v>
      </c>
      <c r="AL147" s="22">
        <f t="shared" si="112"/>
        <v>4.4212233574902864E-12</v>
      </c>
      <c r="AM147" s="60">
        <f t="shared" si="113"/>
        <v>293.33333333333775</v>
      </c>
      <c r="AN147" s="60">
        <f ca="1">AVERAGE(OFFSET($AM$3,0,0,'Données projet'!$E$10+1,1))-AVERAGE(OFFSET($H$3,0,0,'Données projet'!$E$10+1,1))</f>
        <v>170.79567854714986</v>
      </c>
      <c r="AO147" s="60">
        <f t="shared" si="144"/>
        <v>155.92788004111191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-1.1368683772161603E-13</v>
      </c>
      <c r="BE147" s="14">
        <f>BD147*VLOOKUP('Données projet'!$B$11,Paramètres!$A$1:$I$89,3,0)*VLOOKUP('Données projet'!$B$11,Paramètres!$A$1:$I$89,5,0)</f>
        <v>-9.2222762759774927E-14</v>
      </c>
      <c r="BF147" s="14" t="e">
        <f t="shared" si="145"/>
        <v>#NUM!</v>
      </c>
      <c r="BG147" s="22" t="e">
        <f t="shared" si="115"/>
        <v>#NUM!</v>
      </c>
      <c r="BH147" s="60" t="e">
        <f t="shared" si="116"/>
        <v>#NUM!</v>
      </c>
      <c r="BI147" s="60">
        <f ca="1">AVERAGE(OFFSET($BH$3,0,0,'Données projet'!$E$11+1,1))-AVERAGE(OFFSET($H$3,0,0,'Données projet'!$E$11+1,1))</f>
        <v>256.19915261735281</v>
      </c>
      <c r="BJ147" s="60">
        <f t="shared" si="146"/>
        <v>297.47246687305056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-5.6843418860808015E-14</v>
      </c>
      <c r="BZ147" s="14">
        <f>BY147*VLOOKUP('Données projet'!$B$12,Paramètres!$A$1:$I$89,3,0)*VLOOKUP('Données projet'!$B$12,Paramètres!$A$1:$I$89,5,0)</f>
        <v>-5.4092197387944907E-14</v>
      </c>
      <c r="CA147" s="14" t="e">
        <f t="shared" si="147"/>
        <v>#NUM!</v>
      </c>
      <c r="CB147" s="22" t="e">
        <f t="shared" si="118"/>
        <v>#NUM!</v>
      </c>
      <c r="CC147" s="60" t="e">
        <f t="shared" si="119"/>
        <v>#NUM!</v>
      </c>
      <c r="CD147" s="60">
        <f ca="1">AVERAGE(OFFSET($CC$3,0,0,'Données projet'!$E$12+1,1))-AVERAGE(OFFSET($H$3,0,0,'Données projet'!$E$12+1,1))</f>
        <v>353.53401919391234</v>
      </c>
      <c r="CE147" s="60">
        <f t="shared" si="148"/>
        <v>244.7141066773861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2.4666666666666668</v>
      </c>
      <c r="CT147" s="13">
        <f>IF('Données projet'!$A$140&gt;35,CT146+CS147-DB146,IF(A147&lt;'Données projet'!$A$140,$CQ$205^A147,IF(A147='Données projet'!$A$140,'Données projet'!$B$140,CT146+CS147-DB146)))</f>
        <v>291.19999999999925</v>
      </c>
      <c r="CU147" s="18">
        <f>CT147*VLOOKUP('Données projet'!$B$13,Paramètres!$A$1:$I$89,3,0)*VLOOKUP('Données projet'!$B$13,Paramètres!$A$1:$I$89,5,0)</f>
        <v>245.30687999999938</v>
      </c>
      <c r="CV147" s="14">
        <f t="shared" si="149"/>
        <v>59.579874112906268</v>
      </c>
      <c r="CW147" s="22">
        <f t="shared" si="121"/>
        <v>531.01109674664394</v>
      </c>
      <c r="CX147" s="60">
        <f t="shared" si="122"/>
        <v>824.3444300799772</v>
      </c>
      <c r="CY147" s="60">
        <f ca="1">AVERAGE(OFFSET($CX$3,0,0,'Données projet'!$E$13+1,1))-AVERAGE(OFFSET($H$3,0,0,'Données projet'!$E$13+1,1))</f>
        <v>403.33327536410098</v>
      </c>
      <c r="CZ147" s="60">
        <f t="shared" si="150"/>
        <v>218.26721063098552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3.4106051316484809E-13</v>
      </c>
      <c r="DP147" s="18">
        <f>DO147*VLOOKUP('Données projet'!$B$14,Paramètres!$A$1:$I$89,3,0)*VLOOKUP('Données projet'!$B$14,Paramètres!$A$1:$I$89,5,0)</f>
        <v>2.7134774427395314E-13</v>
      </c>
      <c r="DQ147" s="14">
        <f t="shared" si="151"/>
        <v>3.6292411711343559E-12</v>
      </c>
      <c r="DR147" s="22">
        <f t="shared" si="124"/>
        <v>6.7935256943361388E-12</v>
      </c>
      <c r="DS147" s="60">
        <f t="shared" si="125"/>
        <v>293.33333333334014</v>
      </c>
      <c r="DT147" s="60">
        <f ca="1">AVERAGE(OFFSET($DS$3,0,0,'Données projet'!$E$14+1,1))-AVERAGE(OFFSET($H$3,0,0,'Données projet'!$E$14+1,1))</f>
        <v>317.13087551964747</v>
      </c>
      <c r="DU147" s="60">
        <f t="shared" si="152"/>
        <v>293.43300041793185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1.7053025658242404E-13</v>
      </c>
      <c r="EK147" s="18">
        <f>EJ147*VLOOKUP('Données projet'!$B$15,Paramètres!$A$1:$I$89,3,0)*VLOOKUP('Données projet'!$B$15,Paramètres!$A$1:$I$89,5,0)</f>
        <v>1.3567387213697657E-13</v>
      </c>
      <c r="EL147" s="14">
        <f t="shared" si="153"/>
        <v>1.9670967679808581E-12</v>
      </c>
      <c r="EM147" s="22">
        <f t="shared" si="127"/>
        <v>3.6623255315385623E-12</v>
      </c>
      <c r="EN147" s="60">
        <f t="shared" si="128"/>
        <v>293.33333333333695</v>
      </c>
      <c r="EO147" s="60">
        <f ca="1">AVERAGE(OFFSET($EN$3,0,0,'Données projet'!$E$15+1,1))-AVERAGE(OFFSET($H$3,0,0,'Données projet'!$E$15+1,1))</f>
        <v>253.03289960511904</v>
      </c>
      <c r="EP147" s="60">
        <f t="shared" si="154"/>
        <v>236.85088713056018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1.7053025658242404E-13</v>
      </c>
      <c r="FF147" s="18">
        <f>FE147*VLOOKUP('Données projet'!$B$16,Paramètres!$A$1:$I$89,3,0)*VLOOKUP('Données projet'!$B$16,Paramètres!$A$1:$I$89,5,0)</f>
        <v>1.4897523215040567E-13</v>
      </c>
      <c r="FG147" s="14">
        <f t="shared" si="155"/>
        <v>2.136562777003313E-12</v>
      </c>
      <c r="FH147" s="22">
        <f t="shared" si="130"/>
        <v>3.9806453659427267E-12</v>
      </c>
      <c r="FI147" s="60">
        <f t="shared" si="131"/>
        <v>293.33333333333729</v>
      </c>
      <c r="FJ147" s="60">
        <f ca="1">AVERAGE(OFFSET($FI$3,0,0,'Données projet'!$E$16+1,1))-AVERAGE(OFFSET($H$3,0,0,'Données projet'!$E$16+1,1))</f>
        <v>274.38315511766132</v>
      </c>
      <c r="FK147" s="60">
        <f t="shared" si="156"/>
        <v>255.96663040027175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-1.1368683772161603E-13</v>
      </c>
      <c r="GA147" s="18">
        <f>FZ147*VLOOKUP('Données projet'!$B$17,Paramètres!$A$1:$I$89,3,0)*VLOOKUP('Données projet'!$B$17,Paramètres!$A$1:$I$89,5,0)</f>
        <v>-9.7543306765146564E-14</v>
      </c>
      <c r="GB147" s="14" t="e">
        <f t="shared" si="157"/>
        <v>#NUM!</v>
      </c>
      <c r="GC147" s="22" t="e">
        <f t="shared" si="133"/>
        <v>#NUM!</v>
      </c>
      <c r="GD147" s="60" t="e">
        <f t="shared" si="134"/>
        <v>#NUM!</v>
      </c>
      <c r="GE147" s="60">
        <f ca="1">AVERAGE(OFFSET($GD$3,0,0,'Données projet'!$E$17+1,1))-AVERAGE(OFFSET($H$3,0,0,'Données projet'!$E$17+1,1))</f>
        <v>445.81166342116865</v>
      </c>
      <c r="GF147" s="60">
        <f t="shared" si="158"/>
        <v>230.82970731138215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5.6843418860808015E-14</v>
      </c>
      <c r="GV147" s="18">
        <f>GU147*VLOOKUP('Données projet'!$B$18,Paramètres!$A$1:$I$89,3,0)*VLOOKUP('Données projet'!$B$18,Paramètres!$A$1:$I$89,5,0)</f>
        <v>4.4337866711430253E-14</v>
      </c>
      <c r="GW147" s="14">
        <f t="shared" si="159"/>
        <v>7.3222115536967035E-13</v>
      </c>
      <c r="GX147" s="22">
        <f t="shared" si="136"/>
        <v>1.3525069634579169E-12</v>
      </c>
      <c r="GY147" s="60">
        <f t="shared" si="137"/>
        <v>293.33333333333468</v>
      </c>
      <c r="GZ147" s="60">
        <f ca="1">AVERAGE(OFFSET($GY$3,0,0,'Données projet'!$E$18+1,1))-AVERAGE(OFFSET($H$3,0,0,'Données projet'!$E$18+1,1))</f>
        <v>289.19475369871481</v>
      </c>
      <c r="HA147" s="60">
        <f t="shared" si="160"/>
        <v>283.48738729114024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projet'!$B$18,Paramètres!$A$1:$I$89,3,0)*0.475*44/12</f>
        <v>0</v>
      </c>
      <c r="HH147" s="23">
        <f>EXP(-LN(2)/25)*HH146+(1-EXP(-LN(2)/25))/(LN(2)/25)*Calculateur!HC147*Calculateur!HE147*VLOOKUP('Données projet'!$B$18,Paramètres!$A$1:$I$89,3,0)*0.475*44/12</f>
        <v>0</v>
      </c>
      <c r="HI147" s="23">
        <f>EXP(-LN(2)/2)*HI146+(1-EXP(-LN(2)/2))/(LN(2)/2)*HC147*HF147*VLOOKUP('Données projet'!$B$18,Paramètres!$A$1:$I$89,3,0)*0.475*44/12</f>
        <v>0</v>
      </c>
      <c r="HJ147" s="24">
        <f t="shared" si="138"/>
        <v>0</v>
      </c>
    </row>
    <row r="148" spans="1:218" s="5" customFormat="1" x14ac:dyDescent="0.3">
      <c r="A148" s="11">
        <f t="shared" si="139"/>
        <v>145</v>
      </c>
      <c r="B148" s="75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8">
        <f t="shared" si="110"/>
        <v>256.66666666666669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2.4666666666666668</v>
      </c>
      <c r="N148" s="14">
        <f>IF('Données projet'!$A$36&gt;35,N147+M148-V147,IF(A148&lt;'Données projet'!$A$36,$K$205^A148,IF(A148='Données projet'!$A$36,'Données projet'!$B$36,N147+M148-V147)))</f>
        <v>293.66666666666589</v>
      </c>
      <c r="O148" s="14">
        <f>N148*VLOOKUP('Données projet'!$B$9,Paramètres!$A$1:$I$89,3,0)*VLOOKUP('Données projet'!$B$9,Paramètres!$A$1:$I$89,5,0)</f>
        <v>284.03439999999927</v>
      </c>
      <c r="P148" s="14">
        <f t="shared" si="141"/>
        <v>67.818882421464934</v>
      </c>
      <c r="Q148" s="22">
        <f t="shared" si="108"/>
        <v>612.81113355071682</v>
      </c>
      <c r="R148" s="60">
        <f t="shared" si="109"/>
        <v>906.14446688405019</v>
      </c>
      <c r="S148" s="60">
        <f ca="1">AVERAGE(OFFSET($R$3,0,0,'Données projet'!$E$9+1,1))-AVERAGE(OFFSET($H$3,0,0,'Données projet'!$E$9+1,1))</f>
        <v>456.86147223520601</v>
      </c>
      <c r="T148" s="60">
        <f t="shared" si="142"/>
        <v>244.45149244446094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2.5579538487363607E-13</v>
      </c>
      <c r="AJ148" s="14">
        <f>AI148*VLOOKUP('Données projet'!$B$10,Paramètres!$A$1:$I$89,3,0)*VLOOKUP('Données projet'!$B$10,Paramètres!$A$1:$I$89,5,0)</f>
        <v>1.6759713616920635E-13</v>
      </c>
      <c r="AK148" s="14">
        <f t="shared" si="143"/>
        <v>2.3709043131075133E-12</v>
      </c>
      <c r="AL148" s="22">
        <f t="shared" si="112"/>
        <v>4.4212233574902864E-12</v>
      </c>
      <c r="AM148" s="60">
        <f t="shared" si="113"/>
        <v>293.33333333333775</v>
      </c>
      <c r="AN148" s="60">
        <f ca="1">AVERAGE(OFFSET($AM$3,0,0,'Données projet'!$E$10+1,1))-AVERAGE(OFFSET($H$3,0,0,'Données projet'!$E$10+1,1))</f>
        <v>170.79567854714986</v>
      </c>
      <c r="AO148" s="60">
        <f t="shared" si="144"/>
        <v>155.92788004111191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-1.1368683772161603E-13</v>
      </c>
      <c r="BE148" s="14">
        <f>BD148*VLOOKUP('Données projet'!$B$11,Paramètres!$A$1:$I$89,3,0)*VLOOKUP('Données projet'!$B$11,Paramètres!$A$1:$I$89,5,0)</f>
        <v>-9.2222762759774927E-14</v>
      </c>
      <c r="BF148" s="14" t="e">
        <f t="shared" si="145"/>
        <v>#NUM!</v>
      </c>
      <c r="BG148" s="22" t="e">
        <f t="shared" si="115"/>
        <v>#NUM!</v>
      </c>
      <c r="BH148" s="60" t="e">
        <f t="shared" si="116"/>
        <v>#NUM!</v>
      </c>
      <c r="BI148" s="60">
        <f ca="1">AVERAGE(OFFSET($BH$3,0,0,'Données projet'!$E$11+1,1))-AVERAGE(OFFSET($H$3,0,0,'Données projet'!$E$11+1,1))</f>
        <v>256.19915261735281</v>
      </c>
      <c r="BJ148" s="60">
        <f t="shared" si="146"/>
        <v>297.47246687305056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-5.6843418860808015E-14</v>
      </c>
      <c r="BZ148" s="14">
        <f>BY148*VLOOKUP('Données projet'!$B$12,Paramètres!$A$1:$I$89,3,0)*VLOOKUP('Données projet'!$B$12,Paramètres!$A$1:$I$89,5,0)</f>
        <v>-5.4092197387944907E-14</v>
      </c>
      <c r="CA148" s="14" t="e">
        <f t="shared" si="147"/>
        <v>#NUM!</v>
      </c>
      <c r="CB148" s="22" t="e">
        <f t="shared" si="118"/>
        <v>#NUM!</v>
      </c>
      <c r="CC148" s="60" t="e">
        <f t="shared" si="119"/>
        <v>#NUM!</v>
      </c>
      <c r="CD148" s="60">
        <f ca="1">AVERAGE(OFFSET($CC$3,0,0,'Données projet'!$E$12+1,1))-AVERAGE(OFFSET($H$3,0,0,'Données projet'!$E$12+1,1))</f>
        <v>353.53401919391234</v>
      </c>
      <c r="CE148" s="60">
        <f t="shared" si="148"/>
        <v>244.7141066773861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2.4666666666666668</v>
      </c>
      <c r="CT148" s="13">
        <f>IF('Données projet'!$A$140&gt;35,CT147+CS148-DB147,IF(A148&lt;'Données projet'!$A$140,$CQ$205^A148,IF(A148='Données projet'!$A$140,'Données projet'!$B$140,CT147+CS148-DB147)))</f>
        <v>293.66666666666589</v>
      </c>
      <c r="CU148" s="18">
        <f>CT148*VLOOKUP('Données projet'!$B$13,Paramètres!$A$1:$I$89,3,0)*VLOOKUP('Données projet'!$B$13,Paramètres!$A$1:$I$89,5,0)</f>
        <v>247.38479999999936</v>
      </c>
      <c r="CV148" s="14">
        <f t="shared" si="149"/>
        <v>60.025592856315711</v>
      </c>
      <c r="CW148" s="22">
        <f t="shared" si="121"/>
        <v>535.40643422474875</v>
      </c>
      <c r="CX148" s="60">
        <f t="shared" si="122"/>
        <v>828.73976755808212</v>
      </c>
      <c r="CY148" s="60">
        <f ca="1">AVERAGE(OFFSET($CX$3,0,0,'Données projet'!$E$13+1,1))-AVERAGE(OFFSET($H$3,0,0,'Données projet'!$E$13+1,1))</f>
        <v>403.33327536410098</v>
      </c>
      <c r="CZ148" s="60">
        <f t="shared" si="150"/>
        <v>218.26721063098552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3.4106051316484809E-13</v>
      </c>
      <c r="DP148" s="18">
        <f>DO148*VLOOKUP('Données projet'!$B$14,Paramètres!$A$1:$I$89,3,0)*VLOOKUP('Données projet'!$B$14,Paramètres!$A$1:$I$89,5,0)</f>
        <v>2.7134774427395314E-13</v>
      </c>
      <c r="DQ148" s="14">
        <f t="shared" si="151"/>
        <v>3.6292411711343559E-12</v>
      </c>
      <c r="DR148" s="22">
        <f t="shared" si="124"/>
        <v>6.7935256943361388E-12</v>
      </c>
      <c r="DS148" s="60">
        <f t="shared" si="125"/>
        <v>293.33333333334014</v>
      </c>
      <c r="DT148" s="60">
        <f ca="1">AVERAGE(OFFSET($DS$3,0,0,'Données projet'!$E$14+1,1))-AVERAGE(OFFSET($H$3,0,0,'Données projet'!$E$14+1,1))</f>
        <v>317.13087551964747</v>
      </c>
      <c r="DU148" s="60">
        <f t="shared" si="152"/>
        <v>293.43300041793185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1.7053025658242404E-13</v>
      </c>
      <c r="EK148" s="18">
        <f>EJ148*VLOOKUP('Données projet'!$B$15,Paramètres!$A$1:$I$89,3,0)*VLOOKUP('Données projet'!$B$15,Paramètres!$A$1:$I$89,5,0)</f>
        <v>1.3567387213697657E-13</v>
      </c>
      <c r="EL148" s="14">
        <f t="shared" si="153"/>
        <v>1.9670967679808581E-12</v>
      </c>
      <c r="EM148" s="22">
        <f t="shared" si="127"/>
        <v>3.6623255315385623E-12</v>
      </c>
      <c r="EN148" s="60">
        <f t="shared" si="128"/>
        <v>293.33333333333695</v>
      </c>
      <c r="EO148" s="60">
        <f ca="1">AVERAGE(OFFSET($EN$3,0,0,'Données projet'!$E$15+1,1))-AVERAGE(OFFSET($H$3,0,0,'Données projet'!$E$15+1,1))</f>
        <v>253.03289960511904</v>
      </c>
      <c r="EP148" s="60">
        <f t="shared" si="154"/>
        <v>236.85088713056018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1.7053025658242404E-13</v>
      </c>
      <c r="FF148" s="18">
        <f>FE148*VLOOKUP('Données projet'!$B$16,Paramètres!$A$1:$I$89,3,0)*VLOOKUP('Données projet'!$B$16,Paramètres!$A$1:$I$89,5,0)</f>
        <v>1.4897523215040567E-13</v>
      </c>
      <c r="FG148" s="14">
        <f t="shared" si="155"/>
        <v>2.136562777003313E-12</v>
      </c>
      <c r="FH148" s="22">
        <f t="shared" si="130"/>
        <v>3.9806453659427267E-12</v>
      </c>
      <c r="FI148" s="60">
        <f t="shared" si="131"/>
        <v>293.33333333333729</v>
      </c>
      <c r="FJ148" s="60">
        <f ca="1">AVERAGE(OFFSET($FI$3,0,0,'Données projet'!$E$16+1,1))-AVERAGE(OFFSET($H$3,0,0,'Données projet'!$E$16+1,1))</f>
        <v>274.38315511766132</v>
      </c>
      <c r="FK148" s="60">
        <f t="shared" si="156"/>
        <v>255.96663040027175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-1.1368683772161603E-13</v>
      </c>
      <c r="GA148" s="18">
        <f>FZ148*VLOOKUP('Données projet'!$B$17,Paramètres!$A$1:$I$89,3,0)*VLOOKUP('Données projet'!$B$17,Paramètres!$A$1:$I$89,5,0)</f>
        <v>-9.7543306765146564E-14</v>
      </c>
      <c r="GB148" s="14" t="e">
        <f t="shared" si="157"/>
        <v>#NUM!</v>
      </c>
      <c r="GC148" s="22" t="e">
        <f t="shared" si="133"/>
        <v>#NUM!</v>
      </c>
      <c r="GD148" s="60" t="e">
        <f t="shared" si="134"/>
        <v>#NUM!</v>
      </c>
      <c r="GE148" s="60">
        <f ca="1">AVERAGE(OFFSET($GD$3,0,0,'Données projet'!$E$17+1,1))-AVERAGE(OFFSET($H$3,0,0,'Données projet'!$E$17+1,1))</f>
        <v>445.81166342116865</v>
      </c>
      <c r="GF148" s="60">
        <f t="shared" si="158"/>
        <v>230.82970731138215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5.6843418860808015E-14</v>
      </c>
      <c r="GV148" s="18">
        <f>GU148*VLOOKUP('Données projet'!$B$18,Paramètres!$A$1:$I$89,3,0)*VLOOKUP('Données projet'!$B$18,Paramètres!$A$1:$I$89,5,0)</f>
        <v>4.4337866711430253E-14</v>
      </c>
      <c r="GW148" s="14">
        <f t="shared" si="159"/>
        <v>7.3222115536967035E-13</v>
      </c>
      <c r="GX148" s="22">
        <f t="shared" si="136"/>
        <v>1.3525069634579169E-12</v>
      </c>
      <c r="GY148" s="60">
        <f t="shared" si="137"/>
        <v>293.33333333333468</v>
      </c>
      <c r="GZ148" s="60">
        <f ca="1">AVERAGE(OFFSET($GY$3,0,0,'Données projet'!$E$18+1,1))-AVERAGE(OFFSET($H$3,0,0,'Données projet'!$E$18+1,1))</f>
        <v>289.19475369871481</v>
      </c>
      <c r="HA148" s="60">
        <f t="shared" si="160"/>
        <v>283.48738729114024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projet'!$B$18,Paramètres!$A$1:$I$89,3,0)*0.475*44/12</f>
        <v>0</v>
      </c>
      <c r="HH148" s="23">
        <f>EXP(-LN(2)/25)*HH147+(1-EXP(-LN(2)/25))/(LN(2)/25)*Calculateur!HC148*Calculateur!HE148*VLOOKUP('Données projet'!$B$18,Paramètres!$A$1:$I$89,3,0)*0.475*44/12</f>
        <v>0</v>
      </c>
      <c r="HI148" s="23">
        <f>EXP(-LN(2)/2)*HI147+(1-EXP(-LN(2)/2))/(LN(2)/2)*HC148*HF148*VLOOKUP('Données projet'!$B$18,Paramètres!$A$1:$I$89,3,0)*0.475*44/12</f>
        <v>0</v>
      </c>
      <c r="HJ148" s="24">
        <f t="shared" si="138"/>
        <v>0</v>
      </c>
    </row>
    <row r="149" spans="1:218" s="5" customFormat="1" x14ac:dyDescent="0.3">
      <c r="A149" s="11">
        <f t="shared" si="139"/>
        <v>146</v>
      </c>
      <c r="B149" s="75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8">
        <f t="shared" si="110"/>
        <v>256.66666666666669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2.4666666666666668</v>
      </c>
      <c r="N149" s="14">
        <f>IF('Données projet'!$A$36&gt;35,N148+M149-V148,IF(A149&lt;'Données projet'!$A$36,$K$205^A149,IF(A149='Données projet'!$A$36,'Données projet'!$B$36,N148+M149-V148)))</f>
        <v>296.13333333333253</v>
      </c>
      <c r="O149" s="14">
        <f>N149*VLOOKUP('Données projet'!$B$9,Paramètres!$A$1:$I$89,3,0)*VLOOKUP('Données projet'!$B$9,Paramètres!$A$1:$I$89,5,0)</f>
        <v>286.42015999999927</v>
      </c>
      <c r="P149" s="14">
        <f t="shared" si="141"/>
        <v>68.321977941482302</v>
      </c>
      <c r="Q149" s="22">
        <f t="shared" si="108"/>
        <v>617.84255691474698</v>
      </c>
      <c r="R149" s="60">
        <f t="shared" si="109"/>
        <v>911.17589024808035</v>
      </c>
      <c r="S149" s="60">
        <f ca="1">AVERAGE(OFFSET($R$3,0,0,'Données projet'!$E$9+1,1))-AVERAGE(OFFSET($H$3,0,0,'Données projet'!$E$9+1,1))</f>
        <v>456.86147223520601</v>
      </c>
      <c r="T149" s="60">
        <f t="shared" si="142"/>
        <v>244.45149244446094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2.5579538487363607E-13</v>
      </c>
      <c r="AJ149" s="14">
        <f>AI149*VLOOKUP('Données projet'!$B$10,Paramètres!$A$1:$I$89,3,0)*VLOOKUP('Données projet'!$B$10,Paramètres!$A$1:$I$89,5,0)</f>
        <v>1.6759713616920635E-13</v>
      </c>
      <c r="AK149" s="14">
        <f t="shared" si="143"/>
        <v>2.3709043131075133E-12</v>
      </c>
      <c r="AL149" s="22">
        <f t="shared" si="112"/>
        <v>4.4212233574902864E-12</v>
      </c>
      <c r="AM149" s="60">
        <f t="shared" si="113"/>
        <v>293.33333333333775</v>
      </c>
      <c r="AN149" s="60">
        <f ca="1">AVERAGE(OFFSET($AM$3,0,0,'Données projet'!$E$10+1,1))-AVERAGE(OFFSET($H$3,0,0,'Données projet'!$E$10+1,1))</f>
        <v>170.79567854714986</v>
      </c>
      <c r="AO149" s="60">
        <f t="shared" si="144"/>
        <v>155.92788004111191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-1.1368683772161603E-13</v>
      </c>
      <c r="BE149" s="14">
        <f>BD149*VLOOKUP('Données projet'!$B$11,Paramètres!$A$1:$I$89,3,0)*VLOOKUP('Données projet'!$B$11,Paramètres!$A$1:$I$89,5,0)</f>
        <v>-9.2222762759774927E-14</v>
      </c>
      <c r="BF149" s="14" t="e">
        <f t="shared" si="145"/>
        <v>#NUM!</v>
      </c>
      <c r="BG149" s="22" t="e">
        <f t="shared" si="115"/>
        <v>#NUM!</v>
      </c>
      <c r="BH149" s="60" t="e">
        <f t="shared" si="116"/>
        <v>#NUM!</v>
      </c>
      <c r="BI149" s="60">
        <f ca="1">AVERAGE(OFFSET($BH$3,0,0,'Données projet'!$E$11+1,1))-AVERAGE(OFFSET($H$3,0,0,'Données projet'!$E$11+1,1))</f>
        <v>256.19915261735281</v>
      </c>
      <c r="BJ149" s="60">
        <f t="shared" si="146"/>
        <v>297.47246687305056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-5.6843418860808015E-14</v>
      </c>
      <c r="BZ149" s="14">
        <f>BY149*VLOOKUP('Données projet'!$B$12,Paramètres!$A$1:$I$89,3,0)*VLOOKUP('Données projet'!$B$12,Paramètres!$A$1:$I$89,5,0)</f>
        <v>-5.4092197387944907E-14</v>
      </c>
      <c r="CA149" s="14" t="e">
        <f t="shared" si="147"/>
        <v>#NUM!</v>
      </c>
      <c r="CB149" s="22" t="e">
        <f t="shared" si="118"/>
        <v>#NUM!</v>
      </c>
      <c r="CC149" s="60" t="e">
        <f t="shared" si="119"/>
        <v>#NUM!</v>
      </c>
      <c r="CD149" s="60">
        <f ca="1">AVERAGE(OFFSET($CC$3,0,0,'Données projet'!$E$12+1,1))-AVERAGE(OFFSET($H$3,0,0,'Données projet'!$E$12+1,1))</f>
        <v>353.53401919391234</v>
      </c>
      <c r="CE149" s="60">
        <f t="shared" si="148"/>
        <v>244.7141066773861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2.4666666666666668</v>
      </c>
      <c r="CT149" s="13">
        <f>IF('Données projet'!$A$140&gt;35,CT148+CS149-DB148,IF(A149&lt;'Données projet'!$A$140,$CQ$205^A149,IF(A149='Données projet'!$A$140,'Données projet'!$B$140,CT148+CS149-DB148)))</f>
        <v>296.13333333333253</v>
      </c>
      <c r="CU149" s="18">
        <f>CT149*VLOOKUP('Données projet'!$B$13,Paramètres!$A$1:$I$89,3,0)*VLOOKUP('Données projet'!$B$13,Paramètres!$A$1:$I$89,5,0)</f>
        <v>249.46271999999936</v>
      </c>
      <c r="CV149" s="14">
        <f t="shared" si="149"/>
        <v>60.470876024869376</v>
      </c>
      <c r="CW149" s="22">
        <f t="shared" si="121"/>
        <v>539.80101307664643</v>
      </c>
      <c r="CX149" s="60">
        <f t="shared" si="122"/>
        <v>833.1343464099798</v>
      </c>
      <c r="CY149" s="60">
        <f ca="1">AVERAGE(OFFSET($CX$3,0,0,'Données projet'!$E$13+1,1))-AVERAGE(OFFSET($H$3,0,0,'Données projet'!$E$13+1,1))</f>
        <v>403.33327536410098</v>
      </c>
      <c r="CZ149" s="60">
        <f t="shared" si="150"/>
        <v>218.26721063098552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3.4106051316484809E-13</v>
      </c>
      <c r="DP149" s="18">
        <f>DO149*VLOOKUP('Données projet'!$B$14,Paramètres!$A$1:$I$89,3,0)*VLOOKUP('Données projet'!$B$14,Paramètres!$A$1:$I$89,5,0)</f>
        <v>2.7134774427395314E-13</v>
      </c>
      <c r="DQ149" s="14">
        <f t="shared" si="151"/>
        <v>3.6292411711343559E-12</v>
      </c>
      <c r="DR149" s="22">
        <f t="shared" si="124"/>
        <v>6.7935256943361388E-12</v>
      </c>
      <c r="DS149" s="60">
        <f t="shared" si="125"/>
        <v>293.33333333334014</v>
      </c>
      <c r="DT149" s="60">
        <f ca="1">AVERAGE(OFFSET($DS$3,0,0,'Données projet'!$E$14+1,1))-AVERAGE(OFFSET($H$3,0,0,'Données projet'!$E$14+1,1))</f>
        <v>317.13087551964747</v>
      </c>
      <c r="DU149" s="60">
        <f t="shared" si="152"/>
        <v>293.43300041793185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1.7053025658242404E-13</v>
      </c>
      <c r="EK149" s="18">
        <f>EJ149*VLOOKUP('Données projet'!$B$15,Paramètres!$A$1:$I$89,3,0)*VLOOKUP('Données projet'!$B$15,Paramètres!$A$1:$I$89,5,0)</f>
        <v>1.3567387213697657E-13</v>
      </c>
      <c r="EL149" s="14">
        <f t="shared" si="153"/>
        <v>1.9670967679808581E-12</v>
      </c>
      <c r="EM149" s="22">
        <f t="shared" si="127"/>
        <v>3.6623255315385623E-12</v>
      </c>
      <c r="EN149" s="60">
        <f t="shared" si="128"/>
        <v>293.33333333333695</v>
      </c>
      <c r="EO149" s="60">
        <f ca="1">AVERAGE(OFFSET($EN$3,0,0,'Données projet'!$E$15+1,1))-AVERAGE(OFFSET($H$3,0,0,'Données projet'!$E$15+1,1))</f>
        <v>253.03289960511904</v>
      </c>
      <c r="EP149" s="60">
        <f t="shared" si="154"/>
        <v>236.85088713056018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1.7053025658242404E-13</v>
      </c>
      <c r="FF149" s="18">
        <f>FE149*VLOOKUP('Données projet'!$B$16,Paramètres!$A$1:$I$89,3,0)*VLOOKUP('Données projet'!$B$16,Paramètres!$A$1:$I$89,5,0)</f>
        <v>1.4897523215040567E-13</v>
      </c>
      <c r="FG149" s="14">
        <f t="shared" si="155"/>
        <v>2.136562777003313E-12</v>
      </c>
      <c r="FH149" s="22">
        <f t="shared" si="130"/>
        <v>3.9806453659427267E-12</v>
      </c>
      <c r="FI149" s="60">
        <f t="shared" si="131"/>
        <v>293.33333333333729</v>
      </c>
      <c r="FJ149" s="60">
        <f ca="1">AVERAGE(OFFSET($FI$3,0,0,'Données projet'!$E$16+1,1))-AVERAGE(OFFSET($H$3,0,0,'Données projet'!$E$16+1,1))</f>
        <v>274.38315511766132</v>
      </c>
      <c r="FK149" s="60">
        <f t="shared" si="156"/>
        <v>255.96663040027175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-1.1368683772161603E-13</v>
      </c>
      <c r="GA149" s="18">
        <f>FZ149*VLOOKUP('Données projet'!$B$17,Paramètres!$A$1:$I$89,3,0)*VLOOKUP('Données projet'!$B$17,Paramètres!$A$1:$I$89,5,0)</f>
        <v>-9.7543306765146564E-14</v>
      </c>
      <c r="GB149" s="14" t="e">
        <f t="shared" si="157"/>
        <v>#NUM!</v>
      </c>
      <c r="GC149" s="22" t="e">
        <f t="shared" si="133"/>
        <v>#NUM!</v>
      </c>
      <c r="GD149" s="60" t="e">
        <f t="shared" si="134"/>
        <v>#NUM!</v>
      </c>
      <c r="GE149" s="60">
        <f ca="1">AVERAGE(OFFSET($GD$3,0,0,'Données projet'!$E$17+1,1))-AVERAGE(OFFSET($H$3,0,0,'Données projet'!$E$17+1,1))</f>
        <v>445.81166342116865</v>
      </c>
      <c r="GF149" s="60">
        <f t="shared" si="158"/>
        <v>230.82970731138215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5.6843418860808015E-14</v>
      </c>
      <c r="GV149" s="18">
        <f>GU149*VLOOKUP('Données projet'!$B$18,Paramètres!$A$1:$I$89,3,0)*VLOOKUP('Données projet'!$B$18,Paramètres!$A$1:$I$89,5,0)</f>
        <v>4.4337866711430253E-14</v>
      </c>
      <c r="GW149" s="14">
        <f t="shared" si="159"/>
        <v>7.3222115536967035E-13</v>
      </c>
      <c r="GX149" s="22">
        <f t="shared" si="136"/>
        <v>1.3525069634579169E-12</v>
      </c>
      <c r="GY149" s="60">
        <f t="shared" si="137"/>
        <v>293.33333333333468</v>
      </c>
      <c r="GZ149" s="60">
        <f ca="1">AVERAGE(OFFSET($GY$3,0,0,'Données projet'!$E$18+1,1))-AVERAGE(OFFSET($H$3,0,0,'Données projet'!$E$18+1,1))</f>
        <v>289.19475369871481</v>
      </c>
      <c r="HA149" s="60">
        <f t="shared" si="160"/>
        <v>283.48738729114024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projet'!$B$18,Paramètres!$A$1:$I$89,3,0)*0.475*44/12</f>
        <v>0</v>
      </c>
      <c r="HH149" s="23">
        <f>EXP(-LN(2)/25)*HH148+(1-EXP(-LN(2)/25))/(LN(2)/25)*Calculateur!HC149*Calculateur!HE149*VLOOKUP('Données projet'!$B$18,Paramètres!$A$1:$I$89,3,0)*0.475*44/12</f>
        <v>0</v>
      </c>
      <c r="HI149" s="23">
        <f>EXP(-LN(2)/2)*HI148+(1-EXP(-LN(2)/2))/(LN(2)/2)*HC149*HF149*VLOOKUP('Données projet'!$B$18,Paramètres!$A$1:$I$89,3,0)*0.475*44/12</f>
        <v>0</v>
      </c>
      <c r="HJ149" s="24">
        <f t="shared" si="138"/>
        <v>0</v>
      </c>
    </row>
    <row r="150" spans="1:218" s="5" customFormat="1" x14ac:dyDescent="0.3">
      <c r="A150" s="11">
        <f t="shared" si="139"/>
        <v>147</v>
      </c>
      <c r="B150" s="75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8">
        <f t="shared" si="110"/>
        <v>256.66666666666669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2.4666666666666668</v>
      </c>
      <c r="N150" s="14">
        <f>IF('Données projet'!$A$36&gt;35,N149+M150-V149,IF(A150&lt;'Données projet'!$A$36,$K$205^A150,IF(A150='Données projet'!$A$36,'Données projet'!$B$36,N149+M150-V149)))</f>
        <v>298.59999999999917</v>
      </c>
      <c r="O150" s="14">
        <f>N150*VLOOKUP('Données projet'!$B$9,Paramètres!$A$1:$I$89,3,0)*VLOOKUP('Données projet'!$B$9,Paramètres!$A$1:$I$89,5,0)</f>
        <v>288.80591999999922</v>
      </c>
      <c r="P150" s="14">
        <f t="shared" si="141"/>
        <v>68.824585908995942</v>
      </c>
      <c r="Q150" s="22">
        <f t="shared" si="108"/>
        <v>622.87313112483321</v>
      </c>
      <c r="R150" s="60">
        <f t="shared" si="109"/>
        <v>916.20646445816647</v>
      </c>
      <c r="S150" s="60">
        <f ca="1">AVERAGE(OFFSET($R$3,0,0,'Données projet'!$E$9+1,1))-AVERAGE(OFFSET($H$3,0,0,'Données projet'!$E$9+1,1))</f>
        <v>456.86147223520601</v>
      </c>
      <c r="T150" s="60">
        <f t="shared" si="142"/>
        <v>244.45149244446094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2.5579538487363607E-13</v>
      </c>
      <c r="AJ150" s="14">
        <f>AI150*VLOOKUP('Données projet'!$B$10,Paramètres!$A$1:$I$89,3,0)*VLOOKUP('Données projet'!$B$10,Paramètres!$A$1:$I$89,5,0)</f>
        <v>1.6759713616920635E-13</v>
      </c>
      <c r="AK150" s="14">
        <f t="shared" si="143"/>
        <v>2.3709043131075133E-12</v>
      </c>
      <c r="AL150" s="22">
        <f t="shared" si="112"/>
        <v>4.4212233574902864E-12</v>
      </c>
      <c r="AM150" s="60">
        <f t="shared" si="113"/>
        <v>293.33333333333775</v>
      </c>
      <c r="AN150" s="60">
        <f ca="1">AVERAGE(OFFSET($AM$3,0,0,'Données projet'!$E$10+1,1))-AVERAGE(OFFSET($H$3,0,0,'Données projet'!$E$10+1,1))</f>
        <v>170.79567854714986</v>
      </c>
      <c r="AO150" s="60">
        <f t="shared" si="144"/>
        <v>155.92788004111191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-1.1368683772161603E-13</v>
      </c>
      <c r="BE150" s="14">
        <f>BD150*VLOOKUP('Données projet'!$B$11,Paramètres!$A$1:$I$89,3,0)*VLOOKUP('Données projet'!$B$11,Paramètres!$A$1:$I$89,5,0)</f>
        <v>-9.2222762759774927E-14</v>
      </c>
      <c r="BF150" s="14" t="e">
        <f t="shared" si="145"/>
        <v>#NUM!</v>
      </c>
      <c r="BG150" s="22" t="e">
        <f t="shared" si="115"/>
        <v>#NUM!</v>
      </c>
      <c r="BH150" s="60" t="e">
        <f t="shared" si="116"/>
        <v>#NUM!</v>
      </c>
      <c r="BI150" s="60">
        <f ca="1">AVERAGE(OFFSET($BH$3,0,0,'Données projet'!$E$11+1,1))-AVERAGE(OFFSET($H$3,0,0,'Données projet'!$E$11+1,1))</f>
        <v>256.19915261735281</v>
      </c>
      <c r="BJ150" s="60">
        <f t="shared" si="146"/>
        <v>297.47246687305056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-5.6843418860808015E-14</v>
      </c>
      <c r="BZ150" s="14">
        <f>BY150*VLOOKUP('Données projet'!$B$12,Paramètres!$A$1:$I$89,3,0)*VLOOKUP('Données projet'!$B$12,Paramètres!$A$1:$I$89,5,0)</f>
        <v>-5.4092197387944907E-14</v>
      </c>
      <c r="CA150" s="14" t="e">
        <f t="shared" si="147"/>
        <v>#NUM!</v>
      </c>
      <c r="CB150" s="22" t="e">
        <f t="shared" si="118"/>
        <v>#NUM!</v>
      </c>
      <c r="CC150" s="60" t="e">
        <f t="shared" si="119"/>
        <v>#NUM!</v>
      </c>
      <c r="CD150" s="60">
        <f ca="1">AVERAGE(OFFSET($CC$3,0,0,'Données projet'!$E$12+1,1))-AVERAGE(OFFSET($H$3,0,0,'Données projet'!$E$12+1,1))</f>
        <v>353.53401919391234</v>
      </c>
      <c r="CE150" s="60">
        <f t="shared" si="148"/>
        <v>244.7141066773861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2.4666666666666668</v>
      </c>
      <c r="CT150" s="13">
        <f>IF('Données projet'!$A$140&gt;35,CT149+CS150-DB149,IF(A150&lt;'Données projet'!$A$140,$CQ$205^A150,IF(A150='Données projet'!$A$140,'Données projet'!$B$140,CT149+CS150-DB149)))</f>
        <v>298.59999999999917</v>
      </c>
      <c r="CU150" s="18">
        <f>CT150*VLOOKUP('Données projet'!$B$13,Paramètres!$A$1:$I$89,3,0)*VLOOKUP('Données projet'!$B$13,Paramètres!$A$1:$I$89,5,0)</f>
        <v>251.54063999999934</v>
      </c>
      <c r="CV150" s="14">
        <f t="shared" si="149"/>
        <v>60.915727667171907</v>
      </c>
      <c r="CW150" s="22">
        <f t="shared" si="121"/>
        <v>544.19484035365667</v>
      </c>
      <c r="CX150" s="60">
        <f t="shared" si="122"/>
        <v>837.52817368698993</v>
      </c>
      <c r="CY150" s="60">
        <f ca="1">AVERAGE(OFFSET($CX$3,0,0,'Données projet'!$E$13+1,1))-AVERAGE(OFFSET($H$3,0,0,'Données projet'!$E$13+1,1))</f>
        <v>403.33327536410098</v>
      </c>
      <c r="CZ150" s="60">
        <f t="shared" si="150"/>
        <v>218.26721063098552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3.4106051316484809E-13</v>
      </c>
      <c r="DP150" s="18">
        <f>DO150*VLOOKUP('Données projet'!$B$14,Paramètres!$A$1:$I$89,3,0)*VLOOKUP('Données projet'!$B$14,Paramètres!$A$1:$I$89,5,0)</f>
        <v>2.7134774427395314E-13</v>
      </c>
      <c r="DQ150" s="14">
        <f t="shared" si="151"/>
        <v>3.6292411711343559E-12</v>
      </c>
      <c r="DR150" s="22">
        <f t="shared" si="124"/>
        <v>6.7935256943361388E-12</v>
      </c>
      <c r="DS150" s="60">
        <f t="shared" si="125"/>
        <v>293.33333333334014</v>
      </c>
      <c r="DT150" s="60">
        <f ca="1">AVERAGE(OFFSET($DS$3,0,0,'Données projet'!$E$14+1,1))-AVERAGE(OFFSET($H$3,0,0,'Données projet'!$E$14+1,1))</f>
        <v>317.13087551964747</v>
      </c>
      <c r="DU150" s="60">
        <f t="shared" si="152"/>
        <v>293.43300041793185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1.7053025658242404E-13</v>
      </c>
      <c r="EK150" s="18">
        <f>EJ150*VLOOKUP('Données projet'!$B$15,Paramètres!$A$1:$I$89,3,0)*VLOOKUP('Données projet'!$B$15,Paramètres!$A$1:$I$89,5,0)</f>
        <v>1.3567387213697657E-13</v>
      </c>
      <c r="EL150" s="14">
        <f t="shared" si="153"/>
        <v>1.9670967679808581E-12</v>
      </c>
      <c r="EM150" s="22">
        <f t="shared" si="127"/>
        <v>3.6623255315385623E-12</v>
      </c>
      <c r="EN150" s="60">
        <f t="shared" si="128"/>
        <v>293.33333333333695</v>
      </c>
      <c r="EO150" s="60">
        <f ca="1">AVERAGE(OFFSET($EN$3,0,0,'Données projet'!$E$15+1,1))-AVERAGE(OFFSET($H$3,0,0,'Données projet'!$E$15+1,1))</f>
        <v>253.03289960511904</v>
      </c>
      <c r="EP150" s="60">
        <f t="shared" si="154"/>
        <v>236.85088713056018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1.7053025658242404E-13</v>
      </c>
      <c r="FF150" s="18">
        <f>FE150*VLOOKUP('Données projet'!$B$16,Paramètres!$A$1:$I$89,3,0)*VLOOKUP('Données projet'!$B$16,Paramètres!$A$1:$I$89,5,0)</f>
        <v>1.4897523215040567E-13</v>
      </c>
      <c r="FG150" s="14">
        <f t="shared" si="155"/>
        <v>2.136562777003313E-12</v>
      </c>
      <c r="FH150" s="22">
        <f t="shared" si="130"/>
        <v>3.9806453659427267E-12</v>
      </c>
      <c r="FI150" s="60">
        <f t="shared" si="131"/>
        <v>293.33333333333729</v>
      </c>
      <c r="FJ150" s="60">
        <f ca="1">AVERAGE(OFFSET($FI$3,0,0,'Données projet'!$E$16+1,1))-AVERAGE(OFFSET($H$3,0,0,'Données projet'!$E$16+1,1))</f>
        <v>274.38315511766132</v>
      </c>
      <c r="FK150" s="60">
        <f t="shared" si="156"/>
        <v>255.96663040027175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-1.1368683772161603E-13</v>
      </c>
      <c r="GA150" s="18">
        <f>FZ150*VLOOKUP('Données projet'!$B$17,Paramètres!$A$1:$I$89,3,0)*VLOOKUP('Données projet'!$B$17,Paramètres!$A$1:$I$89,5,0)</f>
        <v>-9.7543306765146564E-14</v>
      </c>
      <c r="GB150" s="14" t="e">
        <f t="shared" si="157"/>
        <v>#NUM!</v>
      </c>
      <c r="GC150" s="22" t="e">
        <f t="shared" si="133"/>
        <v>#NUM!</v>
      </c>
      <c r="GD150" s="60" t="e">
        <f t="shared" si="134"/>
        <v>#NUM!</v>
      </c>
      <c r="GE150" s="60">
        <f ca="1">AVERAGE(OFFSET($GD$3,0,0,'Données projet'!$E$17+1,1))-AVERAGE(OFFSET($H$3,0,0,'Données projet'!$E$17+1,1))</f>
        <v>445.81166342116865</v>
      </c>
      <c r="GF150" s="60">
        <f t="shared" si="158"/>
        <v>230.82970731138215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5.6843418860808015E-14</v>
      </c>
      <c r="GV150" s="18">
        <f>GU150*VLOOKUP('Données projet'!$B$18,Paramètres!$A$1:$I$89,3,0)*VLOOKUP('Données projet'!$B$18,Paramètres!$A$1:$I$89,5,0)</f>
        <v>4.4337866711430253E-14</v>
      </c>
      <c r="GW150" s="14">
        <f t="shared" si="159"/>
        <v>7.3222115536967035E-13</v>
      </c>
      <c r="GX150" s="22">
        <f t="shared" si="136"/>
        <v>1.3525069634579169E-12</v>
      </c>
      <c r="GY150" s="60">
        <f t="shared" si="137"/>
        <v>293.33333333333468</v>
      </c>
      <c r="GZ150" s="60">
        <f ca="1">AVERAGE(OFFSET($GY$3,0,0,'Données projet'!$E$18+1,1))-AVERAGE(OFFSET($H$3,0,0,'Données projet'!$E$18+1,1))</f>
        <v>289.19475369871481</v>
      </c>
      <c r="HA150" s="60">
        <f t="shared" si="160"/>
        <v>283.48738729114024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projet'!$B$18,Paramètres!$A$1:$I$89,3,0)*0.475*44/12</f>
        <v>0</v>
      </c>
      <c r="HH150" s="23">
        <f>EXP(-LN(2)/25)*HH149+(1-EXP(-LN(2)/25))/(LN(2)/25)*Calculateur!HC150*Calculateur!HE150*VLOOKUP('Données projet'!$B$18,Paramètres!$A$1:$I$89,3,0)*0.475*44/12</f>
        <v>0</v>
      </c>
      <c r="HI150" s="23">
        <f>EXP(-LN(2)/2)*HI149+(1-EXP(-LN(2)/2))/(LN(2)/2)*HC150*HF150*VLOOKUP('Données projet'!$B$18,Paramètres!$A$1:$I$89,3,0)*0.475*44/12</f>
        <v>0</v>
      </c>
      <c r="HJ150" s="24">
        <f t="shared" si="138"/>
        <v>0</v>
      </c>
    </row>
    <row r="151" spans="1:218" s="5" customFormat="1" x14ac:dyDescent="0.3">
      <c r="A151" s="11">
        <f t="shared" si="139"/>
        <v>148</v>
      </c>
      <c r="B151" s="75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8">
        <f t="shared" si="110"/>
        <v>256.66666666666669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2.4666666666666668</v>
      </c>
      <c r="N151" s="14">
        <f>IF('Données projet'!$A$36&gt;35,N150+M151-V150,IF(A151&lt;'Données projet'!$A$36,$K$205^A151,IF(A151='Données projet'!$A$36,'Données projet'!$B$36,N150+M151-V150)))</f>
        <v>301.06666666666581</v>
      </c>
      <c r="O151" s="14">
        <f>N151*VLOOKUP('Données projet'!$B$9,Paramètres!$A$1:$I$89,3,0)*VLOOKUP('Données projet'!$B$9,Paramètres!$A$1:$I$89,5,0)</f>
        <v>291.19167999999917</v>
      </c>
      <c r="P151" s="14">
        <f t="shared" si="141"/>
        <v>69.326710818315618</v>
      </c>
      <c r="Q151" s="22">
        <f t="shared" si="108"/>
        <v>627.90286400856496</v>
      </c>
      <c r="R151" s="60">
        <f t="shared" si="109"/>
        <v>921.23619734189833</v>
      </c>
      <c r="S151" s="60">
        <f ca="1">AVERAGE(OFFSET($R$3,0,0,'Données projet'!$E$9+1,1))-AVERAGE(OFFSET($H$3,0,0,'Données projet'!$E$9+1,1))</f>
        <v>456.86147223520601</v>
      </c>
      <c r="T151" s="60">
        <f t="shared" si="142"/>
        <v>244.45149244446094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2.5579538487363607E-13</v>
      </c>
      <c r="AJ151" s="14">
        <f>AI151*VLOOKUP('Données projet'!$B$10,Paramètres!$A$1:$I$89,3,0)*VLOOKUP('Données projet'!$B$10,Paramètres!$A$1:$I$89,5,0)</f>
        <v>1.6759713616920635E-13</v>
      </c>
      <c r="AK151" s="14">
        <f t="shared" si="143"/>
        <v>2.3709043131075133E-12</v>
      </c>
      <c r="AL151" s="22">
        <f t="shared" si="112"/>
        <v>4.4212233574902864E-12</v>
      </c>
      <c r="AM151" s="60">
        <f t="shared" si="113"/>
        <v>293.33333333333775</v>
      </c>
      <c r="AN151" s="60">
        <f ca="1">AVERAGE(OFFSET($AM$3,0,0,'Données projet'!$E$10+1,1))-AVERAGE(OFFSET($H$3,0,0,'Données projet'!$E$10+1,1))</f>
        <v>170.79567854714986</v>
      </c>
      <c r="AO151" s="60">
        <f t="shared" si="144"/>
        <v>155.92788004111191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-1.1368683772161603E-13</v>
      </c>
      <c r="BE151" s="14">
        <f>BD151*VLOOKUP('Données projet'!$B$11,Paramètres!$A$1:$I$89,3,0)*VLOOKUP('Données projet'!$B$11,Paramètres!$A$1:$I$89,5,0)</f>
        <v>-9.2222762759774927E-14</v>
      </c>
      <c r="BF151" s="14" t="e">
        <f t="shared" si="145"/>
        <v>#NUM!</v>
      </c>
      <c r="BG151" s="22" t="e">
        <f t="shared" si="115"/>
        <v>#NUM!</v>
      </c>
      <c r="BH151" s="60" t="e">
        <f t="shared" si="116"/>
        <v>#NUM!</v>
      </c>
      <c r="BI151" s="60">
        <f ca="1">AVERAGE(OFFSET($BH$3,0,0,'Données projet'!$E$11+1,1))-AVERAGE(OFFSET($H$3,0,0,'Données projet'!$E$11+1,1))</f>
        <v>256.19915261735281</v>
      </c>
      <c r="BJ151" s="60">
        <f t="shared" si="146"/>
        <v>297.47246687305056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-5.6843418860808015E-14</v>
      </c>
      <c r="BZ151" s="14">
        <f>BY151*VLOOKUP('Données projet'!$B$12,Paramètres!$A$1:$I$89,3,0)*VLOOKUP('Données projet'!$B$12,Paramètres!$A$1:$I$89,5,0)</f>
        <v>-5.4092197387944907E-14</v>
      </c>
      <c r="CA151" s="14" t="e">
        <f t="shared" si="147"/>
        <v>#NUM!</v>
      </c>
      <c r="CB151" s="22" t="e">
        <f t="shared" si="118"/>
        <v>#NUM!</v>
      </c>
      <c r="CC151" s="60" t="e">
        <f t="shared" si="119"/>
        <v>#NUM!</v>
      </c>
      <c r="CD151" s="60">
        <f ca="1">AVERAGE(OFFSET($CC$3,0,0,'Données projet'!$E$12+1,1))-AVERAGE(OFFSET($H$3,0,0,'Données projet'!$E$12+1,1))</f>
        <v>353.53401919391234</v>
      </c>
      <c r="CE151" s="60">
        <f t="shared" si="148"/>
        <v>244.7141066773861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2.4666666666666668</v>
      </c>
      <c r="CT151" s="13">
        <f>IF('Données projet'!$A$140&gt;35,CT150+CS151-DB150,IF(A151&lt;'Données projet'!$A$140,$CQ$205^A151,IF(A151='Données projet'!$A$140,'Données projet'!$B$140,CT150+CS151-DB150)))</f>
        <v>301.06666666666581</v>
      </c>
      <c r="CU151" s="18">
        <f>CT151*VLOOKUP('Données projet'!$B$13,Paramètres!$A$1:$I$89,3,0)*VLOOKUP('Données projet'!$B$13,Paramètres!$A$1:$I$89,5,0)</f>
        <v>253.61855999999929</v>
      </c>
      <c r="CV151" s="14">
        <f t="shared" si="149"/>
        <v>61.360151761077326</v>
      </c>
      <c r="CW151" s="22">
        <f t="shared" si="121"/>
        <v>548.58792298387516</v>
      </c>
      <c r="CX151" s="60">
        <f t="shared" si="122"/>
        <v>841.92125631720842</v>
      </c>
      <c r="CY151" s="60">
        <f ca="1">AVERAGE(OFFSET($CX$3,0,0,'Données projet'!$E$13+1,1))-AVERAGE(OFFSET($H$3,0,0,'Données projet'!$E$13+1,1))</f>
        <v>403.33327536410098</v>
      </c>
      <c r="CZ151" s="60">
        <f t="shared" si="150"/>
        <v>218.26721063098552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3.4106051316484809E-13</v>
      </c>
      <c r="DP151" s="18">
        <f>DO151*VLOOKUP('Données projet'!$B$14,Paramètres!$A$1:$I$89,3,0)*VLOOKUP('Données projet'!$B$14,Paramètres!$A$1:$I$89,5,0)</f>
        <v>2.7134774427395314E-13</v>
      </c>
      <c r="DQ151" s="14">
        <f t="shared" si="151"/>
        <v>3.6292411711343559E-12</v>
      </c>
      <c r="DR151" s="22">
        <f t="shared" si="124"/>
        <v>6.7935256943361388E-12</v>
      </c>
      <c r="DS151" s="60">
        <f t="shared" si="125"/>
        <v>293.33333333334014</v>
      </c>
      <c r="DT151" s="60">
        <f ca="1">AVERAGE(OFFSET($DS$3,0,0,'Données projet'!$E$14+1,1))-AVERAGE(OFFSET($H$3,0,0,'Données projet'!$E$14+1,1))</f>
        <v>317.13087551964747</v>
      </c>
      <c r="DU151" s="60">
        <f t="shared" si="152"/>
        <v>293.43300041793185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1.7053025658242404E-13</v>
      </c>
      <c r="EK151" s="18">
        <f>EJ151*VLOOKUP('Données projet'!$B$15,Paramètres!$A$1:$I$89,3,0)*VLOOKUP('Données projet'!$B$15,Paramètres!$A$1:$I$89,5,0)</f>
        <v>1.3567387213697657E-13</v>
      </c>
      <c r="EL151" s="14">
        <f t="shared" si="153"/>
        <v>1.9670967679808581E-12</v>
      </c>
      <c r="EM151" s="22">
        <f t="shared" si="127"/>
        <v>3.6623255315385623E-12</v>
      </c>
      <c r="EN151" s="60">
        <f t="shared" si="128"/>
        <v>293.33333333333695</v>
      </c>
      <c r="EO151" s="60">
        <f ca="1">AVERAGE(OFFSET($EN$3,0,0,'Données projet'!$E$15+1,1))-AVERAGE(OFFSET($H$3,0,0,'Données projet'!$E$15+1,1))</f>
        <v>253.03289960511904</v>
      </c>
      <c r="EP151" s="60">
        <f t="shared" si="154"/>
        <v>236.85088713056018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1.7053025658242404E-13</v>
      </c>
      <c r="FF151" s="18">
        <f>FE151*VLOOKUP('Données projet'!$B$16,Paramètres!$A$1:$I$89,3,0)*VLOOKUP('Données projet'!$B$16,Paramètres!$A$1:$I$89,5,0)</f>
        <v>1.4897523215040567E-13</v>
      </c>
      <c r="FG151" s="14">
        <f t="shared" si="155"/>
        <v>2.136562777003313E-12</v>
      </c>
      <c r="FH151" s="22">
        <f t="shared" si="130"/>
        <v>3.9806453659427267E-12</v>
      </c>
      <c r="FI151" s="60">
        <f t="shared" si="131"/>
        <v>293.33333333333729</v>
      </c>
      <c r="FJ151" s="60">
        <f ca="1">AVERAGE(OFFSET($FI$3,0,0,'Données projet'!$E$16+1,1))-AVERAGE(OFFSET($H$3,0,0,'Données projet'!$E$16+1,1))</f>
        <v>274.38315511766132</v>
      </c>
      <c r="FK151" s="60">
        <f t="shared" si="156"/>
        <v>255.96663040027175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-1.1368683772161603E-13</v>
      </c>
      <c r="GA151" s="18">
        <f>FZ151*VLOOKUP('Données projet'!$B$17,Paramètres!$A$1:$I$89,3,0)*VLOOKUP('Données projet'!$B$17,Paramètres!$A$1:$I$89,5,0)</f>
        <v>-9.7543306765146564E-14</v>
      </c>
      <c r="GB151" s="14" t="e">
        <f t="shared" si="157"/>
        <v>#NUM!</v>
      </c>
      <c r="GC151" s="22" t="e">
        <f t="shared" si="133"/>
        <v>#NUM!</v>
      </c>
      <c r="GD151" s="60" t="e">
        <f t="shared" si="134"/>
        <v>#NUM!</v>
      </c>
      <c r="GE151" s="60">
        <f ca="1">AVERAGE(OFFSET($GD$3,0,0,'Données projet'!$E$17+1,1))-AVERAGE(OFFSET($H$3,0,0,'Données projet'!$E$17+1,1))</f>
        <v>445.81166342116865</v>
      </c>
      <c r="GF151" s="60">
        <f t="shared" si="158"/>
        <v>230.82970731138215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5.6843418860808015E-14</v>
      </c>
      <c r="GV151" s="18">
        <f>GU151*VLOOKUP('Données projet'!$B$18,Paramètres!$A$1:$I$89,3,0)*VLOOKUP('Données projet'!$B$18,Paramètres!$A$1:$I$89,5,0)</f>
        <v>4.4337866711430253E-14</v>
      </c>
      <c r="GW151" s="14">
        <f t="shared" si="159"/>
        <v>7.3222115536967035E-13</v>
      </c>
      <c r="GX151" s="22">
        <f t="shared" si="136"/>
        <v>1.3525069634579169E-12</v>
      </c>
      <c r="GY151" s="60">
        <f t="shared" si="137"/>
        <v>293.33333333333468</v>
      </c>
      <c r="GZ151" s="60">
        <f ca="1">AVERAGE(OFFSET($GY$3,0,0,'Données projet'!$E$18+1,1))-AVERAGE(OFFSET($H$3,0,0,'Données projet'!$E$18+1,1))</f>
        <v>289.19475369871481</v>
      </c>
      <c r="HA151" s="60">
        <f t="shared" si="160"/>
        <v>283.48738729114024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projet'!$B$18,Paramètres!$A$1:$I$89,3,0)*0.475*44/12</f>
        <v>0</v>
      </c>
      <c r="HH151" s="23">
        <f>EXP(-LN(2)/25)*HH150+(1-EXP(-LN(2)/25))/(LN(2)/25)*Calculateur!HC151*Calculateur!HE151*VLOOKUP('Données projet'!$B$18,Paramètres!$A$1:$I$89,3,0)*0.475*44/12</f>
        <v>0</v>
      </c>
      <c r="HI151" s="23">
        <f>EXP(-LN(2)/2)*HI150+(1-EXP(-LN(2)/2))/(LN(2)/2)*HC151*HF151*VLOOKUP('Données projet'!$B$18,Paramètres!$A$1:$I$89,3,0)*0.475*44/12</f>
        <v>0</v>
      </c>
      <c r="HJ151" s="24">
        <f t="shared" si="138"/>
        <v>0</v>
      </c>
    </row>
    <row r="152" spans="1:218" s="5" customFormat="1" x14ac:dyDescent="0.3">
      <c r="A152" s="11">
        <f t="shared" si="139"/>
        <v>149</v>
      </c>
      <c r="B152" s="75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8">
        <f t="shared" si="110"/>
        <v>256.66666666666669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2.4666666666666668</v>
      </c>
      <c r="N152" s="14">
        <f>IF('Données projet'!$A$36&gt;35,N151+M152-V151,IF(A152&lt;'Données projet'!$A$36,$K$205^A152,IF(A152='Données projet'!$A$36,'Données projet'!$B$36,N151+M152-V151)))</f>
        <v>303.53333333333245</v>
      </c>
      <c r="O152" s="14">
        <f>N152*VLOOKUP('Données projet'!$B$9,Paramètres!$A$1:$I$89,3,0)*VLOOKUP('Données projet'!$B$9,Paramètres!$A$1:$I$89,5,0)</f>
        <v>293.57743999999917</v>
      </c>
      <c r="P152" s="14">
        <f t="shared" si="141"/>
        <v>69.828357085855131</v>
      </c>
      <c r="Q152" s="22">
        <f t="shared" si="108"/>
        <v>632.93176325786294</v>
      </c>
      <c r="R152" s="60">
        <f t="shared" si="109"/>
        <v>926.2650965911962</v>
      </c>
      <c r="S152" s="60">
        <f ca="1">AVERAGE(OFFSET($R$3,0,0,'Données projet'!$E$9+1,1))-AVERAGE(OFFSET($H$3,0,0,'Données projet'!$E$9+1,1))</f>
        <v>456.86147223520601</v>
      </c>
      <c r="T152" s="60">
        <f t="shared" si="142"/>
        <v>244.45149244446094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2.5579538487363607E-13</v>
      </c>
      <c r="AJ152" s="14">
        <f>AI152*VLOOKUP('Données projet'!$B$10,Paramètres!$A$1:$I$89,3,0)*VLOOKUP('Données projet'!$B$10,Paramètres!$A$1:$I$89,5,0)</f>
        <v>1.6759713616920635E-13</v>
      </c>
      <c r="AK152" s="14">
        <f t="shared" si="143"/>
        <v>2.3709043131075133E-12</v>
      </c>
      <c r="AL152" s="22">
        <f t="shared" si="112"/>
        <v>4.4212233574902864E-12</v>
      </c>
      <c r="AM152" s="60">
        <f t="shared" si="113"/>
        <v>293.33333333333775</v>
      </c>
      <c r="AN152" s="60">
        <f ca="1">AVERAGE(OFFSET($AM$3,0,0,'Données projet'!$E$10+1,1))-AVERAGE(OFFSET($H$3,0,0,'Données projet'!$E$10+1,1))</f>
        <v>170.79567854714986</v>
      </c>
      <c r="AO152" s="60">
        <f t="shared" si="144"/>
        <v>155.92788004111191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-1.1368683772161603E-13</v>
      </c>
      <c r="BE152" s="14">
        <f>BD152*VLOOKUP('Données projet'!$B$11,Paramètres!$A$1:$I$89,3,0)*VLOOKUP('Données projet'!$B$11,Paramètres!$A$1:$I$89,5,0)</f>
        <v>-9.2222762759774927E-14</v>
      </c>
      <c r="BF152" s="14" t="e">
        <f t="shared" si="145"/>
        <v>#NUM!</v>
      </c>
      <c r="BG152" s="22" t="e">
        <f t="shared" si="115"/>
        <v>#NUM!</v>
      </c>
      <c r="BH152" s="60" t="e">
        <f t="shared" si="116"/>
        <v>#NUM!</v>
      </c>
      <c r="BI152" s="60">
        <f ca="1">AVERAGE(OFFSET($BH$3,0,0,'Données projet'!$E$11+1,1))-AVERAGE(OFFSET($H$3,0,0,'Données projet'!$E$11+1,1))</f>
        <v>256.19915261735281</v>
      </c>
      <c r="BJ152" s="60">
        <f t="shared" si="146"/>
        <v>297.47246687305056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-5.6843418860808015E-14</v>
      </c>
      <c r="BZ152" s="14">
        <f>BY152*VLOOKUP('Données projet'!$B$12,Paramètres!$A$1:$I$89,3,0)*VLOOKUP('Données projet'!$B$12,Paramètres!$A$1:$I$89,5,0)</f>
        <v>-5.4092197387944907E-14</v>
      </c>
      <c r="CA152" s="14" t="e">
        <f t="shared" si="147"/>
        <v>#NUM!</v>
      </c>
      <c r="CB152" s="22" t="e">
        <f t="shared" si="118"/>
        <v>#NUM!</v>
      </c>
      <c r="CC152" s="60" t="e">
        <f t="shared" si="119"/>
        <v>#NUM!</v>
      </c>
      <c r="CD152" s="60">
        <f ca="1">AVERAGE(OFFSET($CC$3,0,0,'Données projet'!$E$12+1,1))-AVERAGE(OFFSET($H$3,0,0,'Données projet'!$E$12+1,1))</f>
        <v>353.53401919391234</v>
      </c>
      <c r="CE152" s="60">
        <f t="shared" si="148"/>
        <v>244.7141066773861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2.4666666666666668</v>
      </c>
      <c r="CT152" s="13">
        <f>IF('Données projet'!$A$140&gt;35,CT151+CS152-DB151,IF(A152&lt;'Données projet'!$A$140,$CQ$205^A152,IF(A152='Données projet'!$A$140,'Données projet'!$B$140,CT151+CS152-DB151)))</f>
        <v>303.53333333333245</v>
      </c>
      <c r="CU152" s="18">
        <f>CT152*VLOOKUP('Données projet'!$B$13,Paramètres!$A$1:$I$89,3,0)*VLOOKUP('Données projet'!$B$13,Paramètres!$A$1:$I$89,5,0)</f>
        <v>255.69647999999927</v>
      </c>
      <c r="CV152" s="14">
        <f t="shared" si="149"/>
        <v>61.804152215494874</v>
      </c>
      <c r="CW152" s="22">
        <f t="shared" si="121"/>
        <v>552.98026777531891</v>
      </c>
      <c r="CX152" s="60">
        <f t="shared" si="122"/>
        <v>846.31360110865216</v>
      </c>
      <c r="CY152" s="60">
        <f ca="1">AVERAGE(OFFSET($CX$3,0,0,'Données projet'!$E$13+1,1))-AVERAGE(OFFSET($H$3,0,0,'Données projet'!$E$13+1,1))</f>
        <v>403.33327536410098</v>
      </c>
      <c r="CZ152" s="60">
        <f t="shared" si="150"/>
        <v>218.26721063098552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3.4106051316484809E-13</v>
      </c>
      <c r="DP152" s="18">
        <f>DO152*VLOOKUP('Données projet'!$B$14,Paramètres!$A$1:$I$89,3,0)*VLOOKUP('Données projet'!$B$14,Paramètres!$A$1:$I$89,5,0)</f>
        <v>2.7134774427395314E-13</v>
      </c>
      <c r="DQ152" s="14">
        <f t="shared" si="151"/>
        <v>3.6292411711343559E-12</v>
      </c>
      <c r="DR152" s="22">
        <f t="shared" si="124"/>
        <v>6.7935256943361388E-12</v>
      </c>
      <c r="DS152" s="60">
        <f t="shared" si="125"/>
        <v>293.33333333334014</v>
      </c>
      <c r="DT152" s="60">
        <f ca="1">AVERAGE(OFFSET($DS$3,0,0,'Données projet'!$E$14+1,1))-AVERAGE(OFFSET($H$3,0,0,'Données projet'!$E$14+1,1))</f>
        <v>317.13087551964747</v>
      </c>
      <c r="DU152" s="60">
        <f t="shared" si="152"/>
        <v>293.43300041793185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1.7053025658242404E-13</v>
      </c>
      <c r="EK152" s="18">
        <f>EJ152*VLOOKUP('Données projet'!$B$15,Paramètres!$A$1:$I$89,3,0)*VLOOKUP('Données projet'!$B$15,Paramètres!$A$1:$I$89,5,0)</f>
        <v>1.3567387213697657E-13</v>
      </c>
      <c r="EL152" s="14">
        <f t="shared" si="153"/>
        <v>1.9670967679808581E-12</v>
      </c>
      <c r="EM152" s="22">
        <f t="shared" si="127"/>
        <v>3.6623255315385623E-12</v>
      </c>
      <c r="EN152" s="60">
        <f t="shared" si="128"/>
        <v>293.33333333333695</v>
      </c>
      <c r="EO152" s="60">
        <f ca="1">AVERAGE(OFFSET($EN$3,0,0,'Données projet'!$E$15+1,1))-AVERAGE(OFFSET($H$3,0,0,'Données projet'!$E$15+1,1))</f>
        <v>253.03289960511904</v>
      </c>
      <c r="EP152" s="60">
        <f t="shared" si="154"/>
        <v>236.85088713056018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1.7053025658242404E-13</v>
      </c>
      <c r="FF152" s="18">
        <f>FE152*VLOOKUP('Données projet'!$B$16,Paramètres!$A$1:$I$89,3,0)*VLOOKUP('Données projet'!$B$16,Paramètres!$A$1:$I$89,5,0)</f>
        <v>1.4897523215040567E-13</v>
      </c>
      <c r="FG152" s="14">
        <f t="shared" si="155"/>
        <v>2.136562777003313E-12</v>
      </c>
      <c r="FH152" s="22">
        <f t="shared" si="130"/>
        <v>3.9806453659427267E-12</v>
      </c>
      <c r="FI152" s="60">
        <f t="shared" si="131"/>
        <v>293.33333333333729</v>
      </c>
      <c r="FJ152" s="60">
        <f ca="1">AVERAGE(OFFSET($FI$3,0,0,'Données projet'!$E$16+1,1))-AVERAGE(OFFSET($H$3,0,0,'Données projet'!$E$16+1,1))</f>
        <v>274.38315511766132</v>
      </c>
      <c r="FK152" s="60">
        <f t="shared" si="156"/>
        <v>255.96663040027175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-1.1368683772161603E-13</v>
      </c>
      <c r="GA152" s="18">
        <f>FZ152*VLOOKUP('Données projet'!$B$17,Paramètres!$A$1:$I$89,3,0)*VLOOKUP('Données projet'!$B$17,Paramètres!$A$1:$I$89,5,0)</f>
        <v>-9.7543306765146564E-14</v>
      </c>
      <c r="GB152" s="14" t="e">
        <f t="shared" si="157"/>
        <v>#NUM!</v>
      </c>
      <c r="GC152" s="22" t="e">
        <f t="shared" si="133"/>
        <v>#NUM!</v>
      </c>
      <c r="GD152" s="60" t="e">
        <f t="shared" si="134"/>
        <v>#NUM!</v>
      </c>
      <c r="GE152" s="60">
        <f ca="1">AVERAGE(OFFSET($GD$3,0,0,'Données projet'!$E$17+1,1))-AVERAGE(OFFSET($H$3,0,0,'Données projet'!$E$17+1,1))</f>
        <v>445.81166342116865</v>
      </c>
      <c r="GF152" s="60">
        <f t="shared" si="158"/>
        <v>230.82970731138215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5.6843418860808015E-14</v>
      </c>
      <c r="GV152" s="18">
        <f>GU152*VLOOKUP('Données projet'!$B$18,Paramètres!$A$1:$I$89,3,0)*VLOOKUP('Données projet'!$B$18,Paramètres!$A$1:$I$89,5,0)</f>
        <v>4.4337866711430253E-14</v>
      </c>
      <c r="GW152" s="14">
        <f t="shared" si="159"/>
        <v>7.3222115536967035E-13</v>
      </c>
      <c r="GX152" s="22">
        <f t="shared" si="136"/>
        <v>1.3525069634579169E-12</v>
      </c>
      <c r="GY152" s="60">
        <f t="shared" si="137"/>
        <v>293.33333333333468</v>
      </c>
      <c r="GZ152" s="60">
        <f ca="1">AVERAGE(OFFSET($GY$3,0,0,'Données projet'!$E$18+1,1))-AVERAGE(OFFSET($H$3,0,0,'Données projet'!$E$18+1,1))</f>
        <v>289.19475369871481</v>
      </c>
      <c r="HA152" s="60">
        <f t="shared" si="160"/>
        <v>283.48738729114024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projet'!$B$18,Paramètres!$A$1:$I$89,3,0)*0.475*44/12</f>
        <v>0</v>
      </c>
      <c r="HH152" s="23">
        <f>EXP(-LN(2)/25)*HH151+(1-EXP(-LN(2)/25))/(LN(2)/25)*Calculateur!HC152*Calculateur!HE152*VLOOKUP('Données projet'!$B$18,Paramètres!$A$1:$I$89,3,0)*0.475*44/12</f>
        <v>0</v>
      </c>
      <c r="HI152" s="23">
        <f>EXP(-LN(2)/2)*HI151+(1-EXP(-LN(2)/2))/(LN(2)/2)*HC152*HF152*VLOOKUP('Données projet'!$B$18,Paramètres!$A$1:$I$89,3,0)*0.475*44/12</f>
        <v>0</v>
      </c>
      <c r="HJ152" s="24">
        <f t="shared" si="138"/>
        <v>0</v>
      </c>
    </row>
    <row r="153" spans="1:218" s="5" customFormat="1" x14ac:dyDescent="0.3">
      <c r="A153" s="11">
        <f>A152+1</f>
        <v>150</v>
      </c>
      <c r="B153" s="75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8">
        <f t="shared" si="110"/>
        <v>256.66666666666669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306</v>
      </c>
      <c r="L153" s="13">
        <f>VLOOKUP(A153,'Données projet'!$A$35:$I$55,9,0)</f>
        <v>2.4666666666666668</v>
      </c>
      <c r="M153" s="13">
        <f t="array" ref="M153">INDEX(L:L,MIN(IF(ISNUMBER(L153:L349),ROW(L153:L349),"")))</f>
        <v>2.4666666666666668</v>
      </c>
      <c r="N153" s="14">
        <f>IF('Données projet'!$A$36&gt;35,N152+M153-V152,IF(A153&lt;'Données projet'!$A$36,$K$205^A153,IF(A153='Données projet'!$A$36,'Données projet'!$B$36,N152+M153-V152)))</f>
        <v>305.99999999999909</v>
      </c>
      <c r="O153" s="14">
        <f>N153*VLOOKUP('Données projet'!$B$9,Paramètres!$A$1:$I$89,3,0)*VLOOKUP('Données projet'!$B$9,Paramètres!$A$1:$I$89,5,0)</f>
        <v>295.96319999999912</v>
      </c>
      <c r="P153" s="14">
        <f t="shared" si="141"/>
        <v>70.329529052104064</v>
      </c>
      <c r="Q153" s="22">
        <f t="shared" si="108"/>
        <v>637.959836432413</v>
      </c>
      <c r="R153" s="60">
        <f t="shared" si="109"/>
        <v>931.29316976574637</v>
      </c>
      <c r="S153" s="60">
        <f ca="1">AVERAGE(OFFSET($R$3,0,0,'Données projet'!$E$9+1,1))-AVERAGE(OFFSET($H$3,0,0,'Données projet'!$E$9+1,1))</f>
        <v>456.86147223520601</v>
      </c>
      <c r="T153" s="60">
        <f t="shared" si="142"/>
        <v>244.45149244446094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306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2.5579538487363607E-13</v>
      </c>
      <c r="AJ153" s="14">
        <f>AI153*VLOOKUP('Données projet'!$B$10,Paramètres!$A$1:$I$89,3,0)*VLOOKUP('Données projet'!$B$10,Paramètres!$A$1:$I$89,5,0)</f>
        <v>1.6759713616920635E-13</v>
      </c>
      <c r="AK153" s="14">
        <f t="shared" si="143"/>
        <v>2.3709043131075133E-12</v>
      </c>
      <c r="AL153" s="22">
        <f t="shared" si="112"/>
        <v>4.4212233574902864E-12</v>
      </c>
      <c r="AM153" s="60">
        <f t="shared" si="113"/>
        <v>293.33333333333775</v>
      </c>
      <c r="AN153" s="60">
        <f ca="1">AVERAGE(OFFSET($AM$3,0,0,'Données projet'!$E$10+1,1))-AVERAGE(OFFSET($H$3,0,0,'Données projet'!$E$10+1,1))</f>
        <v>170.79567854714986</v>
      </c>
      <c r="AO153" s="60">
        <f t="shared" si="144"/>
        <v>155.92788004111191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-1.1368683772161603E-13</v>
      </c>
      <c r="BE153" s="14">
        <f>BD153*VLOOKUP('Données projet'!$B$11,Paramètres!$A$1:$I$89,3,0)*VLOOKUP('Données projet'!$B$11,Paramètres!$A$1:$I$89,5,0)</f>
        <v>-9.2222762759774927E-14</v>
      </c>
      <c r="BF153" s="14" t="e">
        <f t="shared" si="145"/>
        <v>#NUM!</v>
      </c>
      <c r="BG153" s="22" t="e">
        <f t="shared" si="115"/>
        <v>#NUM!</v>
      </c>
      <c r="BH153" s="60" t="e">
        <f t="shared" si="116"/>
        <v>#NUM!</v>
      </c>
      <c r="BI153" s="60">
        <f ca="1">AVERAGE(OFFSET($BH$3,0,0,'Données projet'!$E$11+1,1))-AVERAGE(OFFSET($H$3,0,0,'Données projet'!$E$11+1,1))</f>
        <v>256.19915261735281</v>
      </c>
      <c r="BJ153" s="60">
        <f t="shared" si="146"/>
        <v>297.47246687305056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-5.6843418860808015E-14</v>
      </c>
      <c r="BZ153" s="14">
        <f>BY153*VLOOKUP('Données projet'!$B$12,Paramètres!$A$1:$I$89,3,0)*VLOOKUP('Données projet'!$B$12,Paramètres!$A$1:$I$89,5,0)</f>
        <v>-5.4092197387944907E-14</v>
      </c>
      <c r="CA153" s="14" t="e">
        <f t="shared" si="147"/>
        <v>#NUM!</v>
      </c>
      <c r="CB153" s="22" t="e">
        <f t="shared" si="118"/>
        <v>#NUM!</v>
      </c>
      <c r="CC153" s="60" t="e">
        <f t="shared" si="119"/>
        <v>#NUM!</v>
      </c>
      <c r="CD153" s="60">
        <f ca="1">AVERAGE(OFFSET($CC$3,0,0,'Données projet'!$E$12+1,1))-AVERAGE(OFFSET($H$3,0,0,'Données projet'!$E$12+1,1))</f>
        <v>353.53401919391234</v>
      </c>
      <c r="CE153" s="60">
        <f t="shared" si="148"/>
        <v>244.7141066773861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>
        <f>VLOOKUP(A153,'Données projet'!$A$139:$I$159,2,0)</f>
        <v>306</v>
      </c>
      <c r="CR153" s="13">
        <f>VLOOKUP(A153,'Données projet'!$A$139:$I$159,9,0)</f>
        <v>2.4666666666666668</v>
      </c>
      <c r="CS153" s="13">
        <f t="array" ref="CS153">INDEX(CR:CR,MIN(IF(ISNUMBER(CR153:CR349),ROW(CR153:CR349),"")))</f>
        <v>2.4666666666666668</v>
      </c>
      <c r="CT153" s="13">
        <f>IF('Données projet'!$A$140&gt;35,CT152+CS153-DB152,IF(A153&lt;'Données projet'!$A$140,$CQ$205^A153,IF(A153='Données projet'!$A$140,'Données projet'!$B$140,CT152+CS153-DB152)))</f>
        <v>305.99999999999909</v>
      </c>
      <c r="CU153" s="18">
        <f>CT153*VLOOKUP('Données projet'!$B$13,Paramètres!$A$1:$I$89,3,0)*VLOOKUP('Données projet'!$B$13,Paramètres!$A$1:$I$89,5,0)</f>
        <v>257.77439999999928</v>
      </c>
      <c r="CV153" s="14">
        <f t="shared" si="149"/>
        <v>62.247732872134186</v>
      </c>
      <c r="CW153" s="22">
        <f t="shared" si="121"/>
        <v>557.3718814189657</v>
      </c>
      <c r="CX153" s="60">
        <f t="shared" si="122"/>
        <v>850.70521475229907</v>
      </c>
      <c r="CY153" s="60">
        <f ca="1">AVERAGE(OFFSET($CX$3,0,0,'Données projet'!$E$13+1,1))-AVERAGE(OFFSET($H$3,0,0,'Données projet'!$E$13+1,1))</f>
        <v>403.33327536410098</v>
      </c>
      <c r="CZ153" s="60">
        <f t="shared" si="150"/>
        <v>218.26721063098552</v>
      </c>
      <c r="DA153" s="16">
        <f>IF(ISNA(VLOOKUP(A153,'Données projet'!$A$139:$I$159,3,0)),0,VLOOKUP(A153,'Données projet'!$A$139:$I$159,3,0))</f>
        <v>13</v>
      </c>
      <c r="DB153" s="16">
        <f>IF(ISNA(VLOOKUP(A153,'Données projet'!$A$139:$I$159,4,0)),0,VLOOKUP(A153,'Données projet'!$A$139:$I$159,4,0))</f>
        <v>306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3.4106051316484809E-13</v>
      </c>
      <c r="DP153" s="18">
        <f>DO153*VLOOKUP('Données projet'!$B$14,Paramètres!$A$1:$I$89,3,0)*VLOOKUP('Données projet'!$B$14,Paramètres!$A$1:$I$89,5,0)</f>
        <v>2.7134774427395314E-13</v>
      </c>
      <c r="DQ153" s="14">
        <f t="shared" si="151"/>
        <v>3.6292411711343559E-12</v>
      </c>
      <c r="DR153" s="22">
        <f t="shared" si="124"/>
        <v>6.7935256943361388E-12</v>
      </c>
      <c r="DS153" s="60">
        <f t="shared" si="125"/>
        <v>293.33333333334014</v>
      </c>
      <c r="DT153" s="60">
        <f ca="1">AVERAGE(OFFSET($DS$3,0,0,'Données projet'!$E$14+1,1))-AVERAGE(OFFSET($H$3,0,0,'Données projet'!$E$14+1,1))</f>
        <v>317.13087551964747</v>
      </c>
      <c r="DU153" s="60">
        <f t="shared" si="152"/>
        <v>293.43300041793185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1.7053025658242404E-13</v>
      </c>
      <c r="EK153" s="18">
        <f>EJ153*VLOOKUP('Données projet'!$B$15,Paramètres!$A$1:$I$89,3,0)*VLOOKUP('Données projet'!$B$15,Paramètres!$A$1:$I$89,5,0)</f>
        <v>1.3567387213697657E-13</v>
      </c>
      <c r="EL153" s="14">
        <f t="shared" si="153"/>
        <v>1.9670967679808581E-12</v>
      </c>
      <c r="EM153" s="22">
        <f t="shared" si="127"/>
        <v>3.6623255315385623E-12</v>
      </c>
      <c r="EN153" s="60">
        <f t="shared" si="128"/>
        <v>293.33333333333695</v>
      </c>
      <c r="EO153" s="60">
        <f ca="1">AVERAGE(OFFSET($EN$3,0,0,'Données projet'!$E$15+1,1))-AVERAGE(OFFSET($H$3,0,0,'Données projet'!$E$15+1,1))</f>
        <v>253.03289960511904</v>
      </c>
      <c r="EP153" s="60">
        <f t="shared" si="154"/>
        <v>236.85088713056018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1.7053025658242404E-13</v>
      </c>
      <c r="FF153" s="18">
        <f>FE153*VLOOKUP('Données projet'!$B$16,Paramètres!$A$1:$I$89,3,0)*VLOOKUP('Données projet'!$B$16,Paramètres!$A$1:$I$89,5,0)</f>
        <v>1.4897523215040567E-13</v>
      </c>
      <c r="FG153" s="14">
        <f t="shared" si="155"/>
        <v>2.136562777003313E-12</v>
      </c>
      <c r="FH153" s="22">
        <f t="shared" si="130"/>
        <v>3.9806453659427267E-12</v>
      </c>
      <c r="FI153" s="60">
        <f t="shared" si="131"/>
        <v>293.33333333333729</v>
      </c>
      <c r="FJ153" s="60">
        <f ca="1">AVERAGE(OFFSET($FI$3,0,0,'Données projet'!$E$16+1,1))-AVERAGE(OFFSET($H$3,0,0,'Données projet'!$E$16+1,1))</f>
        <v>274.38315511766132</v>
      </c>
      <c r="FK153" s="60">
        <f t="shared" si="156"/>
        <v>255.96663040027175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-1.1368683772161603E-13</v>
      </c>
      <c r="GA153" s="18">
        <f>FZ153*VLOOKUP('Données projet'!$B$17,Paramètres!$A$1:$I$89,3,0)*VLOOKUP('Données projet'!$B$17,Paramètres!$A$1:$I$89,5,0)</f>
        <v>-9.7543306765146564E-14</v>
      </c>
      <c r="GB153" s="14" t="e">
        <f t="shared" si="157"/>
        <v>#NUM!</v>
      </c>
      <c r="GC153" s="22" t="e">
        <f t="shared" si="133"/>
        <v>#NUM!</v>
      </c>
      <c r="GD153" s="60" t="e">
        <f t="shared" si="134"/>
        <v>#NUM!</v>
      </c>
      <c r="GE153" s="60">
        <f ca="1">AVERAGE(OFFSET($GD$3,0,0,'Données projet'!$E$17+1,1))-AVERAGE(OFFSET($H$3,0,0,'Données projet'!$E$17+1,1))</f>
        <v>445.81166342116865</v>
      </c>
      <c r="GF153" s="60">
        <f t="shared" si="158"/>
        <v>230.82970731138215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5.6843418860808015E-14</v>
      </c>
      <c r="GV153" s="18">
        <f>GU153*VLOOKUP('Données projet'!$B$18,Paramètres!$A$1:$I$89,3,0)*VLOOKUP('Données projet'!$B$18,Paramètres!$A$1:$I$89,5,0)</f>
        <v>4.4337866711430253E-14</v>
      </c>
      <c r="GW153" s="14">
        <f t="shared" si="159"/>
        <v>7.3222115536967035E-13</v>
      </c>
      <c r="GX153" s="22">
        <f t="shared" si="136"/>
        <v>1.3525069634579169E-12</v>
      </c>
      <c r="GY153" s="60">
        <f t="shared" si="137"/>
        <v>293.33333333333468</v>
      </c>
      <c r="GZ153" s="60">
        <f ca="1">AVERAGE(OFFSET($GY$3,0,0,'Données projet'!$E$18+1,1))-AVERAGE(OFFSET($H$3,0,0,'Données projet'!$E$18+1,1))</f>
        <v>289.19475369871481</v>
      </c>
      <c r="HA153" s="60">
        <f t="shared" si="160"/>
        <v>283.48738729114024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projet'!$B$18,Paramètres!$A$1:$I$89,3,0)*0.475*44/12</f>
        <v>0</v>
      </c>
      <c r="HH153" s="23">
        <f>EXP(-LN(2)/25)*HH152+(1-EXP(-LN(2)/25))/(LN(2)/25)*Calculateur!HC153*Calculateur!HE153*VLOOKUP('Données projet'!$B$18,Paramètres!$A$1:$I$89,3,0)*0.475*44/12</f>
        <v>0</v>
      </c>
      <c r="HI153" s="23">
        <f>EXP(-LN(2)/2)*HI152+(1-EXP(-LN(2)/2))/(LN(2)/2)*HC153*HF153*VLOOKUP('Données projet'!$B$18,Paramètres!$A$1:$I$89,3,0)*0.475*44/12</f>
        <v>0</v>
      </c>
      <c r="HJ153" s="24">
        <f t="shared" si="138"/>
        <v>0</v>
      </c>
    </row>
    <row r="154" spans="1:218" x14ac:dyDescent="0.3">
      <c r="A154" s="11">
        <f t="shared" ref="A154:A202" si="161">A153+1</f>
        <v>151</v>
      </c>
      <c r="B154" s="75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8">
        <f t="shared" si="110"/>
        <v>256.66666666666669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-9.0949470177292824E-13</v>
      </c>
      <c r="O154" s="14">
        <f>N154*VLOOKUP('Données projet'!$B$9,Paramètres!$A$1:$I$89,3,0)*VLOOKUP('Données projet'!$B$9,Paramètres!$A$1:$I$89,5,0)</f>
        <v>-8.7966327555477625E-13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456.86147223520601</v>
      </c>
      <c r="T154" s="60">
        <f t="shared" si="142"/>
        <v>244.45149244446094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2.5579538487363607E-13</v>
      </c>
      <c r="AJ154" s="14">
        <f>AI154*VLOOKUP('Données projet'!$B$10,Paramètres!$A$1:$I$89,3,0)*VLOOKUP('Données projet'!$B$10,Paramètres!$A$1:$I$89,5,0)</f>
        <v>1.6759713616920635E-13</v>
      </c>
      <c r="AK154" s="14">
        <f t="shared" ref="AK154:AK203" si="164">EXP(-1.0587+0.8836*LN(AJ154)+0.284)</f>
        <v>2.3709043131075133E-12</v>
      </c>
      <c r="AL154" s="22">
        <f t="shared" ref="AL154:AL203" si="165">(AJ154+AK154)*0.475*44/12</f>
        <v>4.4212233574902864E-12</v>
      </c>
      <c r="AM154" s="60">
        <f t="shared" si="113"/>
        <v>293.33333333333775</v>
      </c>
      <c r="AN154" s="60">
        <f ca="1">AVERAGE(OFFSET($AM$3,0,0,'Données projet'!$E$10+1,1))-AVERAGE(OFFSET($H$3,0,0,'Données projet'!$E$10+1,1))</f>
        <v>170.79567854714986</v>
      </c>
      <c r="AO154" s="60">
        <f t="shared" si="144"/>
        <v>155.92788004111191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-1.1368683772161603E-13</v>
      </c>
      <c r="BE154" s="14">
        <f>BD154*VLOOKUP('Données projet'!$B$11,Paramètres!$A$1:$I$89,3,0)*VLOOKUP('Données projet'!$B$11,Paramètres!$A$1:$I$89,5,0)</f>
        <v>-9.2222762759774927E-14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6"/>
        <v>#NUM!</v>
      </c>
      <c r="BI154" s="60">
        <f ca="1">AVERAGE(OFFSET($BH$3,0,0,'Données projet'!$E$11+1,1))-AVERAGE(OFFSET($H$3,0,0,'Données projet'!$E$11+1,1))</f>
        <v>256.19915261735281</v>
      </c>
      <c r="BJ154" s="60">
        <f t="shared" si="146"/>
        <v>297.47246687305056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-5.6843418860808015E-14</v>
      </c>
      <c r="BZ154" s="14">
        <f>BY154*VLOOKUP('Données projet'!$B$12,Paramètres!$A$1:$I$89,3,0)*VLOOKUP('Données projet'!$B$12,Paramètres!$A$1:$I$89,5,0)</f>
        <v>-5.4092197387944907E-14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0" t="e">
        <f t="shared" si="119"/>
        <v>#NUM!</v>
      </c>
      <c r="CD154" s="60">
        <f ca="1">AVERAGE(OFFSET($CC$3,0,0,'Données projet'!$E$12+1,1))-AVERAGE(OFFSET($H$3,0,0,'Données projet'!$E$12+1,1))</f>
        <v>353.53401919391234</v>
      </c>
      <c r="CE154" s="60">
        <f t="shared" si="148"/>
        <v>244.7141066773861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-9.0949470177292824E-13</v>
      </c>
      <c r="CU154" s="18">
        <f>CT154*VLOOKUP('Données projet'!$B$13,Paramètres!$A$1:$I$89,3,0)*VLOOKUP('Données projet'!$B$13,Paramètres!$A$1:$I$89,5,0)</f>
        <v>-7.6615833677351478E-13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403.33327536410098</v>
      </c>
      <c r="CZ154" s="60">
        <f t="shared" si="150"/>
        <v>218.26721063098552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3.4106051316484809E-13</v>
      </c>
      <c r="DP154" s="18">
        <f>DO154*VLOOKUP('Données projet'!$B$14,Paramètres!$A$1:$I$89,3,0)*VLOOKUP('Données projet'!$B$14,Paramètres!$A$1:$I$89,5,0)</f>
        <v>2.7134774427395314E-13</v>
      </c>
      <c r="DQ154" s="14">
        <f t="shared" ref="DQ154:DQ203" si="176">EXP(-1.0587+0.8836*LN(DP154)+0.284)</f>
        <v>3.6292411711343559E-12</v>
      </c>
      <c r="DR154" s="22">
        <f t="shared" ref="DR154:DR203" si="177">(DP154+DQ154)*0.475*44/12</f>
        <v>6.7935256943361388E-12</v>
      </c>
      <c r="DS154" s="60">
        <f t="shared" si="125"/>
        <v>293.33333333334014</v>
      </c>
      <c r="DT154" s="60">
        <f ca="1">AVERAGE(OFFSET($DS$3,0,0,'Données projet'!$E$14+1,1))-AVERAGE(OFFSET($H$3,0,0,'Données projet'!$E$14+1,1))</f>
        <v>317.13087551964747</v>
      </c>
      <c r="DU154" s="60">
        <f t="shared" si="152"/>
        <v>293.43300041793185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1.7053025658242404E-13</v>
      </c>
      <c r="EK154" s="18">
        <f>EJ154*VLOOKUP('Données projet'!$B$15,Paramètres!$A$1:$I$89,3,0)*VLOOKUP('Données projet'!$B$15,Paramètres!$A$1:$I$89,5,0)</f>
        <v>1.3567387213697657E-13</v>
      </c>
      <c r="EL154" s="14">
        <f t="shared" ref="EL154:EL203" si="179">EXP(-1.0587+0.8836*LN(EK154)+0.284)</f>
        <v>1.9670967679808581E-12</v>
      </c>
      <c r="EM154" s="22">
        <f t="shared" ref="EM154:EM203" si="180">(EK154+EL154)*0.475*44/12</f>
        <v>3.6623255315385623E-12</v>
      </c>
      <c r="EN154" s="60">
        <f t="shared" si="128"/>
        <v>293.33333333333695</v>
      </c>
      <c r="EO154" s="60">
        <f ca="1">AVERAGE(OFFSET($EN$3,0,0,'Données projet'!$E$15+1,1))-AVERAGE(OFFSET($H$3,0,0,'Données projet'!$E$15+1,1))</f>
        <v>253.03289960511904</v>
      </c>
      <c r="EP154" s="60">
        <f t="shared" si="154"/>
        <v>236.85088713056018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1.7053025658242404E-13</v>
      </c>
      <c r="FF154" s="18">
        <f>FE154*VLOOKUP('Données projet'!$B$16,Paramètres!$A$1:$I$89,3,0)*VLOOKUP('Données projet'!$B$16,Paramètres!$A$1:$I$89,5,0)</f>
        <v>1.4897523215040567E-13</v>
      </c>
      <c r="FG154" s="14">
        <f t="shared" ref="FG154:FG203" si="182">EXP(-1.0587+0.8836*LN(FF154)+0.284)</f>
        <v>2.136562777003313E-12</v>
      </c>
      <c r="FH154" s="22">
        <f t="shared" ref="FH154:FH203" si="183">(FF154+FG154)*0.475*44/12</f>
        <v>3.9806453659427267E-12</v>
      </c>
      <c r="FI154" s="60">
        <f t="shared" si="131"/>
        <v>293.33333333333729</v>
      </c>
      <c r="FJ154" s="60">
        <f ca="1">AVERAGE(OFFSET($FI$3,0,0,'Données projet'!$E$16+1,1))-AVERAGE(OFFSET($H$3,0,0,'Données projet'!$E$16+1,1))</f>
        <v>274.38315511766132</v>
      </c>
      <c r="FK154" s="60">
        <f t="shared" si="156"/>
        <v>255.96663040027175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-1.1368683772161603E-13</v>
      </c>
      <c r="GA154" s="18">
        <f>FZ154*VLOOKUP('Données projet'!$B$17,Paramètres!$A$1:$I$89,3,0)*VLOOKUP('Données projet'!$B$17,Paramètres!$A$1:$I$89,5,0)</f>
        <v>-9.7543306765146564E-14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0" t="e">
        <f t="shared" si="134"/>
        <v>#NUM!</v>
      </c>
      <c r="GE154" s="60">
        <f ca="1">AVERAGE(OFFSET($GD$3,0,0,'Données projet'!$E$17+1,1))-AVERAGE(OFFSET($H$3,0,0,'Données projet'!$E$17+1,1))</f>
        <v>445.81166342116865</v>
      </c>
      <c r="GF154" s="60">
        <f t="shared" si="158"/>
        <v>230.82970731138215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5.6843418860808015E-14</v>
      </c>
      <c r="GV154" s="18">
        <f>GU154*VLOOKUP('Données projet'!$B$18,Paramètres!$A$1:$I$89,3,0)*VLOOKUP('Données projet'!$B$18,Paramètres!$A$1:$I$89,5,0)</f>
        <v>4.4337866711430253E-14</v>
      </c>
      <c r="GW154" s="14">
        <f t="shared" ref="GW154:GW203" si="188">EXP(-1.0587+0.8836*LN(GV154)+0.284)</f>
        <v>7.3222115536967035E-13</v>
      </c>
      <c r="GX154" s="22">
        <f t="shared" ref="GX154:GX203" si="189">(GV154+GW154)*0.475*44/12</f>
        <v>1.3525069634579169E-12</v>
      </c>
      <c r="GY154" s="60">
        <f t="shared" si="137"/>
        <v>293.33333333333468</v>
      </c>
      <c r="GZ154" s="60">
        <f ca="1">AVERAGE(OFFSET($GY$3,0,0,'Données projet'!$E$18+1,1))-AVERAGE(OFFSET($H$3,0,0,'Données projet'!$E$18+1,1))</f>
        <v>289.19475369871481</v>
      </c>
      <c r="HA154" s="60">
        <f t="shared" si="160"/>
        <v>283.48738729114024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projet'!$B$18,Paramètres!$A$1:$I$89,3,0)*0.475*44/12</f>
        <v>0</v>
      </c>
      <c r="HH154" s="23">
        <f>EXP(-LN(2)/25)*HH153+(1-EXP(-LN(2)/25))/(LN(2)/25)*Calculateur!HC154*Calculateur!HE154*VLOOKUP('Données projet'!$B$18,Paramètres!$A$1:$I$89,3,0)*0.475*44/12</f>
        <v>0</v>
      </c>
      <c r="HI154" s="23">
        <f>EXP(-LN(2)/2)*HI153+(1-EXP(-LN(2)/2))/(LN(2)/2)*HC154*HF154*VLOOKUP('Données projet'!$B$18,Paramètres!$A$1:$I$89,3,0)*0.475*44/12</f>
        <v>0</v>
      </c>
      <c r="HJ154" s="24">
        <f t="shared" ref="HJ154:HJ203" si="190">SUM(HG154:HI154)</f>
        <v>0</v>
      </c>
    </row>
    <row r="155" spans="1:218" x14ac:dyDescent="0.3">
      <c r="A155" s="11">
        <f t="shared" si="161"/>
        <v>152</v>
      </c>
      <c r="B155" s="75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8">
        <f t="shared" si="110"/>
        <v>256.66666666666669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-9.0949470177292824E-13</v>
      </c>
      <c r="O155" s="14">
        <f>N155*VLOOKUP('Données projet'!$B$9,Paramètres!$A$1:$I$89,3,0)*VLOOKUP('Données projet'!$B$9,Paramètres!$A$1:$I$89,5,0)</f>
        <v>-8.7966327555477625E-13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456.86147223520601</v>
      </c>
      <c r="T155" s="60">
        <f t="shared" si="142"/>
        <v>244.45149244446094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2.5579538487363607E-13</v>
      </c>
      <c r="AJ155" s="14">
        <f>AI155*VLOOKUP('Données projet'!$B$10,Paramètres!$A$1:$I$89,3,0)*VLOOKUP('Données projet'!$B$10,Paramètres!$A$1:$I$89,5,0)</f>
        <v>1.6759713616920635E-13</v>
      </c>
      <c r="AK155" s="14">
        <f t="shared" si="164"/>
        <v>2.3709043131075133E-12</v>
      </c>
      <c r="AL155" s="22">
        <f t="shared" si="165"/>
        <v>4.4212233574902864E-12</v>
      </c>
      <c r="AM155" s="60">
        <f t="shared" si="113"/>
        <v>293.33333333333775</v>
      </c>
      <c r="AN155" s="60">
        <f ca="1">AVERAGE(OFFSET($AM$3,0,0,'Données projet'!$E$10+1,1))-AVERAGE(OFFSET($H$3,0,0,'Données projet'!$E$10+1,1))</f>
        <v>170.79567854714986</v>
      </c>
      <c r="AO155" s="60">
        <f t="shared" si="144"/>
        <v>155.92788004111191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-1.1368683772161603E-13</v>
      </c>
      <c r="BE155" s="14">
        <f>BD155*VLOOKUP('Données projet'!$B$11,Paramètres!$A$1:$I$89,3,0)*VLOOKUP('Données projet'!$B$11,Paramètres!$A$1:$I$89,5,0)</f>
        <v>-9.2222762759774927E-14</v>
      </c>
      <c r="BF155" s="14" t="e">
        <f t="shared" si="167"/>
        <v>#NUM!</v>
      </c>
      <c r="BG155" s="22" t="e">
        <f t="shared" si="168"/>
        <v>#NUM!</v>
      </c>
      <c r="BH155" s="60" t="e">
        <f t="shared" si="116"/>
        <v>#NUM!</v>
      </c>
      <c r="BI155" s="60">
        <f ca="1">AVERAGE(OFFSET($BH$3,0,0,'Données projet'!$E$11+1,1))-AVERAGE(OFFSET($H$3,0,0,'Données projet'!$E$11+1,1))</f>
        <v>256.19915261735281</v>
      </c>
      <c r="BJ155" s="60">
        <f t="shared" si="146"/>
        <v>297.47246687305056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-5.6843418860808015E-14</v>
      </c>
      <c r="BZ155" s="14">
        <f>BY155*VLOOKUP('Données projet'!$B$12,Paramètres!$A$1:$I$89,3,0)*VLOOKUP('Données projet'!$B$12,Paramètres!$A$1:$I$89,5,0)</f>
        <v>-5.4092197387944907E-14</v>
      </c>
      <c r="CA155" s="14" t="e">
        <f t="shared" si="170"/>
        <v>#NUM!</v>
      </c>
      <c r="CB155" s="22" t="e">
        <f t="shared" si="171"/>
        <v>#NUM!</v>
      </c>
      <c r="CC155" s="60" t="e">
        <f t="shared" si="119"/>
        <v>#NUM!</v>
      </c>
      <c r="CD155" s="60">
        <f ca="1">AVERAGE(OFFSET($CC$3,0,0,'Données projet'!$E$12+1,1))-AVERAGE(OFFSET($H$3,0,0,'Données projet'!$E$12+1,1))</f>
        <v>353.53401919391234</v>
      </c>
      <c r="CE155" s="60">
        <f t="shared" si="148"/>
        <v>244.7141066773861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-9.0949470177292824E-13</v>
      </c>
      <c r="CU155" s="18">
        <f>CT155*VLOOKUP('Données projet'!$B$13,Paramètres!$A$1:$I$89,3,0)*VLOOKUP('Données projet'!$B$13,Paramètres!$A$1:$I$89,5,0)</f>
        <v>-7.6615833677351478E-13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403.33327536410098</v>
      </c>
      <c r="CZ155" s="60">
        <f t="shared" si="150"/>
        <v>218.26721063098552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3.4106051316484809E-13</v>
      </c>
      <c r="DP155" s="18">
        <f>DO155*VLOOKUP('Données projet'!$B$14,Paramètres!$A$1:$I$89,3,0)*VLOOKUP('Données projet'!$B$14,Paramètres!$A$1:$I$89,5,0)</f>
        <v>2.7134774427395314E-13</v>
      </c>
      <c r="DQ155" s="14">
        <f t="shared" si="176"/>
        <v>3.6292411711343559E-12</v>
      </c>
      <c r="DR155" s="22">
        <f t="shared" si="177"/>
        <v>6.7935256943361388E-12</v>
      </c>
      <c r="DS155" s="60">
        <f t="shared" si="125"/>
        <v>293.33333333334014</v>
      </c>
      <c r="DT155" s="60">
        <f ca="1">AVERAGE(OFFSET($DS$3,0,0,'Données projet'!$E$14+1,1))-AVERAGE(OFFSET($H$3,0,0,'Données projet'!$E$14+1,1))</f>
        <v>317.13087551964747</v>
      </c>
      <c r="DU155" s="60">
        <f t="shared" si="152"/>
        <v>293.43300041793185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1.7053025658242404E-13</v>
      </c>
      <c r="EK155" s="18">
        <f>EJ155*VLOOKUP('Données projet'!$B$15,Paramètres!$A$1:$I$89,3,0)*VLOOKUP('Données projet'!$B$15,Paramètres!$A$1:$I$89,5,0)</f>
        <v>1.3567387213697657E-13</v>
      </c>
      <c r="EL155" s="14">
        <f t="shared" si="179"/>
        <v>1.9670967679808581E-12</v>
      </c>
      <c r="EM155" s="22">
        <f t="shared" si="180"/>
        <v>3.6623255315385623E-12</v>
      </c>
      <c r="EN155" s="60">
        <f t="shared" si="128"/>
        <v>293.33333333333695</v>
      </c>
      <c r="EO155" s="60">
        <f ca="1">AVERAGE(OFFSET($EN$3,0,0,'Données projet'!$E$15+1,1))-AVERAGE(OFFSET($H$3,0,0,'Données projet'!$E$15+1,1))</f>
        <v>253.03289960511904</v>
      </c>
      <c r="EP155" s="60">
        <f t="shared" si="154"/>
        <v>236.85088713056018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1.7053025658242404E-13</v>
      </c>
      <c r="FF155" s="18">
        <f>FE155*VLOOKUP('Données projet'!$B$16,Paramètres!$A$1:$I$89,3,0)*VLOOKUP('Données projet'!$B$16,Paramètres!$A$1:$I$89,5,0)</f>
        <v>1.4897523215040567E-13</v>
      </c>
      <c r="FG155" s="14">
        <f t="shared" si="182"/>
        <v>2.136562777003313E-12</v>
      </c>
      <c r="FH155" s="22">
        <f t="shared" si="183"/>
        <v>3.9806453659427267E-12</v>
      </c>
      <c r="FI155" s="60">
        <f t="shared" si="131"/>
        <v>293.33333333333729</v>
      </c>
      <c r="FJ155" s="60">
        <f ca="1">AVERAGE(OFFSET($FI$3,0,0,'Données projet'!$E$16+1,1))-AVERAGE(OFFSET($H$3,0,0,'Données projet'!$E$16+1,1))</f>
        <v>274.38315511766132</v>
      </c>
      <c r="FK155" s="60">
        <f t="shared" si="156"/>
        <v>255.96663040027175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-1.1368683772161603E-13</v>
      </c>
      <c r="GA155" s="18">
        <f>FZ155*VLOOKUP('Données projet'!$B$17,Paramètres!$A$1:$I$89,3,0)*VLOOKUP('Données projet'!$B$17,Paramètres!$A$1:$I$89,5,0)</f>
        <v>-9.7543306765146564E-14</v>
      </c>
      <c r="GB155" s="14" t="e">
        <f t="shared" si="185"/>
        <v>#NUM!</v>
      </c>
      <c r="GC155" s="22" t="e">
        <f t="shared" si="186"/>
        <v>#NUM!</v>
      </c>
      <c r="GD155" s="60" t="e">
        <f t="shared" si="134"/>
        <v>#NUM!</v>
      </c>
      <c r="GE155" s="60">
        <f ca="1">AVERAGE(OFFSET($GD$3,0,0,'Données projet'!$E$17+1,1))-AVERAGE(OFFSET($H$3,0,0,'Données projet'!$E$17+1,1))</f>
        <v>445.81166342116865</v>
      </c>
      <c r="GF155" s="60">
        <f t="shared" si="158"/>
        <v>230.82970731138215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5.6843418860808015E-14</v>
      </c>
      <c r="GV155" s="18">
        <f>GU155*VLOOKUP('Données projet'!$B$18,Paramètres!$A$1:$I$89,3,0)*VLOOKUP('Données projet'!$B$18,Paramètres!$A$1:$I$89,5,0)</f>
        <v>4.4337866711430253E-14</v>
      </c>
      <c r="GW155" s="14">
        <f t="shared" si="188"/>
        <v>7.3222115536967035E-13</v>
      </c>
      <c r="GX155" s="22">
        <f t="shared" si="189"/>
        <v>1.3525069634579169E-12</v>
      </c>
      <c r="GY155" s="60">
        <f t="shared" si="137"/>
        <v>293.33333333333468</v>
      </c>
      <c r="GZ155" s="60">
        <f ca="1">AVERAGE(OFFSET($GY$3,0,0,'Données projet'!$E$18+1,1))-AVERAGE(OFFSET($H$3,0,0,'Données projet'!$E$18+1,1))</f>
        <v>289.19475369871481</v>
      </c>
      <c r="HA155" s="60">
        <f t="shared" si="160"/>
        <v>283.48738729114024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projet'!$B$18,Paramètres!$A$1:$I$89,3,0)*0.475*44/12</f>
        <v>0</v>
      </c>
      <c r="HH155" s="23">
        <f>EXP(-LN(2)/25)*HH154+(1-EXP(-LN(2)/25))/(LN(2)/25)*Calculateur!HC155*Calculateur!HE155*VLOOKUP('Données projet'!$B$18,Paramètres!$A$1:$I$89,3,0)*0.475*44/12</f>
        <v>0</v>
      </c>
      <c r="HI155" s="23">
        <f>EXP(-LN(2)/2)*HI154+(1-EXP(-LN(2)/2))/(LN(2)/2)*HC155*HF155*VLOOKUP('Données projet'!$B$18,Paramètres!$A$1:$I$89,3,0)*0.475*44/12</f>
        <v>0</v>
      </c>
      <c r="HJ155" s="24">
        <f t="shared" si="190"/>
        <v>0</v>
      </c>
    </row>
    <row r="156" spans="1:218" x14ac:dyDescent="0.3">
      <c r="A156" s="11">
        <f t="shared" si="161"/>
        <v>153</v>
      </c>
      <c r="B156" s="75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8">
        <f t="shared" si="110"/>
        <v>256.66666666666669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-9.0949470177292824E-13</v>
      </c>
      <c r="O156" s="14">
        <f>N156*VLOOKUP('Données projet'!$B$9,Paramètres!$A$1:$I$89,3,0)*VLOOKUP('Données projet'!$B$9,Paramètres!$A$1:$I$89,5,0)</f>
        <v>-8.7966327555477625E-13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456.86147223520601</v>
      </c>
      <c r="T156" s="60">
        <f t="shared" si="142"/>
        <v>244.45149244446094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2.5579538487363607E-13</v>
      </c>
      <c r="AJ156" s="14">
        <f>AI156*VLOOKUP('Données projet'!$B$10,Paramètres!$A$1:$I$89,3,0)*VLOOKUP('Données projet'!$B$10,Paramètres!$A$1:$I$89,5,0)</f>
        <v>1.6759713616920635E-13</v>
      </c>
      <c r="AK156" s="14">
        <f t="shared" si="164"/>
        <v>2.3709043131075133E-12</v>
      </c>
      <c r="AL156" s="22">
        <f t="shared" si="165"/>
        <v>4.4212233574902864E-12</v>
      </c>
      <c r="AM156" s="60">
        <f t="shared" si="113"/>
        <v>293.33333333333775</v>
      </c>
      <c r="AN156" s="60">
        <f ca="1">AVERAGE(OFFSET($AM$3,0,0,'Données projet'!$E$10+1,1))-AVERAGE(OFFSET($H$3,0,0,'Données projet'!$E$10+1,1))</f>
        <v>170.79567854714986</v>
      </c>
      <c r="AO156" s="60">
        <f t="shared" si="144"/>
        <v>155.92788004111191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-1.1368683772161603E-13</v>
      </c>
      <c r="BE156" s="14">
        <f>BD156*VLOOKUP('Données projet'!$B$11,Paramètres!$A$1:$I$89,3,0)*VLOOKUP('Données projet'!$B$11,Paramètres!$A$1:$I$89,5,0)</f>
        <v>-9.2222762759774927E-14</v>
      </c>
      <c r="BF156" s="14" t="e">
        <f t="shared" si="167"/>
        <v>#NUM!</v>
      </c>
      <c r="BG156" s="22" t="e">
        <f t="shared" si="168"/>
        <v>#NUM!</v>
      </c>
      <c r="BH156" s="60" t="e">
        <f t="shared" si="116"/>
        <v>#NUM!</v>
      </c>
      <c r="BI156" s="60">
        <f ca="1">AVERAGE(OFFSET($BH$3,0,0,'Données projet'!$E$11+1,1))-AVERAGE(OFFSET($H$3,0,0,'Données projet'!$E$11+1,1))</f>
        <v>256.19915261735281</v>
      </c>
      <c r="BJ156" s="60">
        <f t="shared" si="146"/>
        <v>297.47246687305056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-5.6843418860808015E-14</v>
      </c>
      <c r="BZ156" s="14">
        <f>BY156*VLOOKUP('Données projet'!$B$12,Paramètres!$A$1:$I$89,3,0)*VLOOKUP('Données projet'!$B$12,Paramètres!$A$1:$I$89,5,0)</f>
        <v>-5.4092197387944907E-14</v>
      </c>
      <c r="CA156" s="14" t="e">
        <f t="shared" si="170"/>
        <v>#NUM!</v>
      </c>
      <c r="CB156" s="22" t="e">
        <f t="shared" si="171"/>
        <v>#NUM!</v>
      </c>
      <c r="CC156" s="60" t="e">
        <f t="shared" si="119"/>
        <v>#NUM!</v>
      </c>
      <c r="CD156" s="60">
        <f ca="1">AVERAGE(OFFSET($CC$3,0,0,'Données projet'!$E$12+1,1))-AVERAGE(OFFSET($H$3,0,0,'Données projet'!$E$12+1,1))</f>
        <v>353.53401919391234</v>
      </c>
      <c r="CE156" s="60">
        <f t="shared" si="148"/>
        <v>244.7141066773861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-9.0949470177292824E-13</v>
      </c>
      <c r="CU156" s="18">
        <f>CT156*VLOOKUP('Données projet'!$B$13,Paramètres!$A$1:$I$89,3,0)*VLOOKUP('Données projet'!$B$13,Paramètres!$A$1:$I$89,5,0)</f>
        <v>-7.6615833677351478E-13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403.33327536410098</v>
      </c>
      <c r="CZ156" s="60">
        <f t="shared" si="150"/>
        <v>218.26721063098552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3.4106051316484809E-13</v>
      </c>
      <c r="DP156" s="18">
        <f>DO156*VLOOKUP('Données projet'!$B$14,Paramètres!$A$1:$I$89,3,0)*VLOOKUP('Données projet'!$B$14,Paramètres!$A$1:$I$89,5,0)</f>
        <v>2.7134774427395314E-13</v>
      </c>
      <c r="DQ156" s="14">
        <f t="shared" si="176"/>
        <v>3.6292411711343559E-12</v>
      </c>
      <c r="DR156" s="22">
        <f t="shared" si="177"/>
        <v>6.7935256943361388E-12</v>
      </c>
      <c r="DS156" s="60">
        <f t="shared" si="125"/>
        <v>293.33333333334014</v>
      </c>
      <c r="DT156" s="60">
        <f ca="1">AVERAGE(OFFSET($DS$3,0,0,'Données projet'!$E$14+1,1))-AVERAGE(OFFSET($H$3,0,0,'Données projet'!$E$14+1,1))</f>
        <v>317.13087551964747</v>
      </c>
      <c r="DU156" s="60">
        <f t="shared" si="152"/>
        <v>293.43300041793185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1.7053025658242404E-13</v>
      </c>
      <c r="EK156" s="18">
        <f>EJ156*VLOOKUP('Données projet'!$B$15,Paramètres!$A$1:$I$89,3,0)*VLOOKUP('Données projet'!$B$15,Paramètres!$A$1:$I$89,5,0)</f>
        <v>1.3567387213697657E-13</v>
      </c>
      <c r="EL156" s="14">
        <f t="shared" si="179"/>
        <v>1.9670967679808581E-12</v>
      </c>
      <c r="EM156" s="22">
        <f t="shared" si="180"/>
        <v>3.6623255315385623E-12</v>
      </c>
      <c r="EN156" s="60">
        <f t="shared" si="128"/>
        <v>293.33333333333695</v>
      </c>
      <c r="EO156" s="60">
        <f ca="1">AVERAGE(OFFSET($EN$3,0,0,'Données projet'!$E$15+1,1))-AVERAGE(OFFSET($H$3,0,0,'Données projet'!$E$15+1,1))</f>
        <v>253.03289960511904</v>
      </c>
      <c r="EP156" s="60">
        <f t="shared" si="154"/>
        <v>236.85088713056018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1.7053025658242404E-13</v>
      </c>
      <c r="FF156" s="18">
        <f>FE156*VLOOKUP('Données projet'!$B$16,Paramètres!$A$1:$I$89,3,0)*VLOOKUP('Données projet'!$B$16,Paramètres!$A$1:$I$89,5,0)</f>
        <v>1.4897523215040567E-13</v>
      </c>
      <c r="FG156" s="14">
        <f t="shared" si="182"/>
        <v>2.136562777003313E-12</v>
      </c>
      <c r="FH156" s="22">
        <f t="shared" si="183"/>
        <v>3.9806453659427267E-12</v>
      </c>
      <c r="FI156" s="60">
        <f t="shared" si="131"/>
        <v>293.33333333333729</v>
      </c>
      <c r="FJ156" s="60">
        <f ca="1">AVERAGE(OFFSET($FI$3,0,0,'Données projet'!$E$16+1,1))-AVERAGE(OFFSET($H$3,0,0,'Données projet'!$E$16+1,1))</f>
        <v>274.38315511766132</v>
      </c>
      <c r="FK156" s="60">
        <f t="shared" si="156"/>
        <v>255.96663040027175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-1.1368683772161603E-13</v>
      </c>
      <c r="GA156" s="18">
        <f>FZ156*VLOOKUP('Données projet'!$B$17,Paramètres!$A$1:$I$89,3,0)*VLOOKUP('Données projet'!$B$17,Paramètres!$A$1:$I$89,5,0)</f>
        <v>-9.7543306765146564E-14</v>
      </c>
      <c r="GB156" s="14" t="e">
        <f t="shared" si="185"/>
        <v>#NUM!</v>
      </c>
      <c r="GC156" s="22" t="e">
        <f t="shared" si="186"/>
        <v>#NUM!</v>
      </c>
      <c r="GD156" s="60" t="e">
        <f t="shared" si="134"/>
        <v>#NUM!</v>
      </c>
      <c r="GE156" s="60">
        <f ca="1">AVERAGE(OFFSET($GD$3,0,0,'Données projet'!$E$17+1,1))-AVERAGE(OFFSET($H$3,0,0,'Données projet'!$E$17+1,1))</f>
        <v>445.81166342116865</v>
      </c>
      <c r="GF156" s="60">
        <f t="shared" si="158"/>
        <v>230.82970731138215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5.6843418860808015E-14</v>
      </c>
      <c r="GV156" s="18">
        <f>GU156*VLOOKUP('Données projet'!$B$18,Paramètres!$A$1:$I$89,3,0)*VLOOKUP('Données projet'!$B$18,Paramètres!$A$1:$I$89,5,0)</f>
        <v>4.4337866711430253E-14</v>
      </c>
      <c r="GW156" s="14">
        <f t="shared" si="188"/>
        <v>7.3222115536967035E-13</v>
      </c>
      <c r="GX156" s="22">
        <f t="shared" si="189"/>
        <v>1.3525069634579169E-12</v>
      </c>
      <c r="GY156" s="60">
        <f t="shared" si="137"/>
        <v>293.33333333333468</v>
      </c>
      <c r="GZ156" s="60">
        <f ca="1">AVERAGE(OFFSET($GY$3,0,0,'Données projet'!$E$18+1,1))-AVERAGE(OFFSET($H$3,0,0,'Données projet'!$E$18+1,1))</f>
        <v>289.19475369871481</v>
      </c>
      <c r="HA156" s="60">
        <f t="shared" si="160"/>
        <v>283.48738729114024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projet'!$B$18,Paramètres!$A$1:$I$89,3,0)*0.475*44/12</f>
        <v>0</v>
      </c>
      <c r="HH156" s="23">
        <f>EXP(-LN(2)/25)*HH155+(1-EXP(-LN(2)/25))/(LN(2)/25)*Calculateur!HC156*Calculateur!HE156*VLOOKUP('Données projet'!$B$18,Paramètres!$A$1:$I$89,3,0)*0.475*44/12</f>
        <v>0</v>
      </c>
      <c r="HI156" s="23">
        <f>EXP(-LN(2)/2)*HI155+(1-EXP(-LN(2)/2))/(LN(2)/2)*HC156*HF156*VLOOKUP('Données projet'!$B$18,Paramètres!$A$1:$I$89,3,0)*0.475*44/12</f>
        <v>0</v>
      </c>
      <c r="HJ156" s="24">
        <f t="shared" si="190"/>
        <v>0</v>
      </c>
    </row>
    <row r="157" spans="1:218" x14ac:dyDescent="0.3">
      <c r="A157" s="11">
        <f t="shared" si="161"/>
        <v>154</v>
      </c>
      <c r="B157" s="75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8">
        <f t="shared" si="110"/>
        <v>256.66666666666669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-9.0949470177292824E-13</v>
      </c>
      <c r="O157" s="14">
        <f>N157*VLOOKUP('Données projet'!$B$9,Paramètres!$A$1:$I$89,3,0)*VLOOKUP('Données projet'!$B$9,Paramètres!$A$1:$I$89,5,0)</f>
        <v>-8.7966327555477625E-13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456.86147223520601</v>
      </c>
      <c r="T157" s="60">
        <f t="shared" si="142"/>
        <v>244.45149244446094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2.5579538487363607E-13</v>
      </c>
      <c r="AJ157" s="14">
        <f>AI157*VLOOKUP('Données projet'!$B$10,Paramètres!$A$1:$I$89,3,0)*VLOOKUP('Données projet'!$B$10,Paramètres!$A$1:$I$89,5,0)</f>
        <v>1.6759713616920635E-13</v>
      </c>
      <c r="AK157" s="14">
        <f t="shared" si="164"/>
        <v>2.3709043131075133E-12</v>
      </c>
      <c r="AL157" s="22">
        <f t="shared" si="165"/>
        <v>4.4212233574902864E-12</v>
      </c>
      <c r="AM157" s="60">
        <f t="shared" si="113"/>
        <v>293.33333333333775</v>
      </c>
      <c r="AN157" s="60">
        <f ca="1">AVERAGE(OFFSET($AM$3,0,0,'Données projet'!$E$10+1,1))-AVERAGE(OFFSET($H$3,0,0,'Données projet'!$E$10+1,1))</f>
        <v>170.79567854714986</v>
      </c>
      <c r="AO157" s="60">
        <f t="shared" si="144"/>
        <v>155.92788004111191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-1.1368683772161603E-13</v>
      </c>
      <c r="BE157" s="14">
        <f>BD157*VLOOKUP('Données projet'!$B$11,Paramètres!$A$1:$I$89,3,0)*VLOOKUP('Données projet'!$B$11,Paramètres!$A$1:$I$89,5,0)</f>
        <v>-9.2222762759774927E-14</v>
      </c>
      <c r="BF157" s="14" t="e">
        <f t="shared" si="167"/>
        <v>#NUM!</v>
      </c>
      <c r="BG157" s="22" t="e">
        <f t="shared" si="168"/>
        <v>#NUM!</v>
      </c>
      <c r="BH157" s="60" t="e">
        <f t="shared" si="116"/>
        <v>#NUM!</v>
      </c>
      <c r="BI157" s="60">
        <f ca="1">AVERAGE(OFFSET($BH$3,0,0,'Données projet'!$E$11+1,1))-AVERAGE(OFFSET($H$3,0,0,'Données projet'!$E$11+1,1))</f>
        <v>256.19915261735281</v>
      </c>
      <c r="BJ157" s="60">
        <f t="shared" si="146"/>
        <v>297.47246687305056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-5.6843418860808015E-14</v>
      </c>
      <c r="BZ157" s="14">
        <f>BY157*VLOOKUP('Données projet'!$B$12,Paramètres!$A$1:$I$89,3,0)*VLOOKUP('Données projet'!$B$12,Paramètres!$A$1:$I$89,5,0)</f>
        <v>-5.4092197387944907E-14</v>
      </c>
      <c r="CA157" s="14" t="e">
        <f t="shared" si="170"/>
        <v>#NUM!</v>
      </c>
      <c r="CB157" s="22" t="e">
        <f t="shared" si="171"/>
        <v>#NUM!</v>
      </c>
      <c r="CC157" s="60" t="e">
        <f t="shared" si="119"/>
        <v>#NUM!</v>
      </c>
      <c r="CD157" s="60">
        <f ca="1">AVERAGE(OFFSET($CC$3,0,0,'Données projet'!$E$12+1,1))-AVERAGE(OFFSET($H$3,0,0,'Données projet'!$E$12+1,1))</f>
        <v>353.53401919391234</v>
      </c>
      <c r="CE157" s="60">
        <f t="shared" si="148"/>
        <v>244.7141066773861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-9.0949470177292824E-13</v>
      </c>
      <c r="CU157" s="18">
        <f>CT157*VLOOKUP('Données projet'!$B$13,Paramètres!$A$1:$I$89,3,0)*VLOOKUP('Données projet'!$B$13,Paramètres!$A$1:$I$89,5,0)</f>
        <v>-7.6615833677351478E-13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403.33327536410098</v>
      </c>
      <c r="CZ157" s="60">
        <f t="shared" si="150"/>
        <v>218.26721063098552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3.4106051316484809E-13</v>
      </c>
      <c r="DP157" s="18">
        <f>DO157*VLOOKUP('Données projet'!$B$14,Paramètres!$A$1:$I$89,3,0)*VLOOKUP('Données projet'!$B$14,Paramètres!$A$1:$I$89,5,0)</f>
        <v>2.7134774427395314E-13</v>
      </c>
      <c r="DQ157" s="14">
        <f t="shared" si="176"/>
        <v>3.6292411711343559E-12</v>
      </c>
      <c r="DR157" s="22">
        <f t="shared" si="177"/>
        <v>6.7935256943361388E-12</v>
      </c>
      <c r="DS157" s="60">
        <f t="shared" si="125"/>
        <v>293.33333333334014</v>
      </c>
      <c r="DT157" s="60">
        <f ca="1">AVERAGE(OFFSET($DS$3,0,0,'Données projet'!$E$14+1,1))-AVERAGE(OFFSET($H$3,0,0,'Données projet'!$E$14+1,1))</f>
        <v>317.13087551964747</v>
      </c>
      <c r="DU157" s="60">
        <f t="shared" si="152"/>
        <v>293.43300041793185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1.7053025658242404E-13</v>
      </c>
      <c r="EK157" s="18">
        <f>EJ157*VLOOKUP('Données projet'!$B$15,Paramètres!$A$1:$I$89,3,0)*VLOOKUP('Données projet'!$B$15,Paramètres!$A$1:$I$89,5,0)</f>
        <v>1.3567387213697657E-13</v>
      </c>
      <c r="EL157" s="14">
        <f t="shared" si="179"/>
        <v>1.9670967679808581E-12</v>
      </c>
      <c r="EM157" s="22">
        <f t="shared" si="180"/>
        <v>3.6623255315385623E-12</v>
      </c>
      <c r="EN157" s="60">
        <f t="shared" si="128"/>
        <v>293.33333333333695</v>
      </c>
      <c r="EO157" s="60">
        <f ca="1">AVERAGE(OFFSET($EN$3,0,0,'Données projet'!$E$15+1,1))-AVERAGE(OFFSET($H$3,0,0,'Données projet'!$E$15+1,1))</f>
        <v>253.03289960511904</v>
      </c>
      <c r="EP157" s="60">
        <f t="shared" si="154"/>
        <v>236.85088713056018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1.7053025658242404E-13</v>
      </c>
      <c r="FF157" s="18">
        <f>FE157*VLOOKUP('Données projet'!$B$16,Paramètres!$A$1:$I$89,3,0)*VLOOKUP('Données projet'!$B$16,Paramètres!$A$1:$I$89,5,0)</f>
        <v>1.4897523215040567E-13</v>
      </c>
      <c r="FG157" s="14">
        <f t="shared" si="182"/>
        <v>2.136562777003313E-12</v>
      </c>
      <c r="FH157" s="22">
        <f t="shared" si="183"/>
        <v>3.9806453659427267E-12</v>
      </c>
      <c r="FI157" s="60">
        <f t="shared" si="131"/>
        <v>293.33333333333729</v>
      </c>
      <c r="FJ157" s="60">
        <f ca="1">AVERAGE(OFFSET($FI$3,0,0,'Données projet'!$E$16+1,1))-AVERAGE(OFFSET($H$3,0,0,'Données projet'!$E$16+1,1))</f>
        <v>274.38315511766132</v>
      </c>
      <c r="FK157" s="60">
        <f t="shared" si="156"/>
        <v>255.96663040027175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-1.1368683772161603E-13</v>
      </c>
      <c r="GA157" s="18">
        <f>FZ157*VLOOKUP('Données projet'!$B$17,Paramètres!$A$1:$I$89,3,0)*VLOOKUP('Données projet'!$B$17,Paramètres!$A$1:$I$89,5,0)</f>
        <v>-9.7543306765146564E-14</v>
      </c>
      <c r="GB157" s="14" t="e">
        <f t="shared" si="185"/>
        <v>#NUM!</v>
      </c>
      <c r="GC157" s="22" t="e">
        <f t="shared" si="186"/>
        <v>#NUM!</v>
      </c>
      <c r="GD157" s="60" t="e">
        <f t="shared" si="134"/>
        <v>#NUM!</v>
      </c>
      <c r="GE157" s="60">
        <f ca="1">AVERAGE(OFFSET($GD$3,0,0,'Données projet'!$E$17+1,1))-AVERAGE(OFFSET($H$3,0,0,'Données projet'!$E$17+1,1))</f>
        <v>445.81166342116865</v>
      </c>
      <c r="GF157" s="60">
        <f t="shared" si="158"/>
        <v>230.82970731138215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5.6843418860808015E-14</v>
      </c>
      <c r="GV157" s="18">
        <f>GU157*VLOOKUP('Données projet'!$B$18,Paramètres!$A$1:$I$89,3,0)*VLOOKUP('Données projet'!$B$18,Paramètres!$A$1:$I$89,5,0)</f>
        <v>4.4337866711430253E-14</v>
      </c>
      <c r="GW157" s="14">
        <f t="shared" si="188"/>
        <v>7.3222115536967035E-13</v>
      </c>
      <c r="GX157" s="22">
        <f t="shared" si="189"/>
        <v>1.3525069634579169E-12</v>
      </c>
      <c r="GY157" s="60">
        <f t="shared" si="137"/>
        <v>293.33333333333468</v>
      </c>
      <c r="GZ157" s="60">
        <f ca="1">AVERAGE(OFFSET($GY$3,0,0,'Données projet'!$E$18+1,1))-AVERAGE(OFFSET($H$3,0,0,'Données projet'!$E$18+1,1))</f>
        <v>289.19475369871481</v>
      </c>
      <c r="HA157" s="60">
        <f t="shared" si="160"/>
        <v>283.48738729114024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projet'!$B$18,Paramètres!$A$1:$I$89,3,0)*0.475*44/12</f>
        <v>0</v>
      </c>
      <c r="HH157" s="23">
        <f>EXP(-LN(2)/25)*HH156+(1-EXP(-LN(2)/25))/(LN(2)/25)*Calculateur!HC157*Calculateur!HE157*VLOOKUP('Données projet'!$B$18,Paramètres!$A$1:$I$89,3,0)*0.475*44/12</f>
        <v>0</v>
      </c>
      <c r="HI157" s="23">
        <f>EXP(-LN(2)/2)*HI156+(1-EXP(-LN(2)/2))/(LN(2)/2)*HC157*HF157*VLOOKUP('Données projet'!$B$18,Paramètres!$A$1:$I$89,3,0)*0.475*44/12</f>
        <v>0</v>
      </c>
      <c r="HJ157" s="24">
        <f t="shared" si="190"/>
        <v>0</v>
      </c>
    </row>
    <row r="158" spans="1:218" x14ac:dyDescent="0.3">
      <c r="A158" s="11">
        <f t="shared" si="161"/>
        <v>155</v>
      </c>
      <c r="B158" s="75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8">
        <f t="shared" si="110"/>
        <v>256.66666666666669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-9.0949470177292824E-13</v>
      </c>
      <c r="O158" s="14">
        <f>N158*VLOOKUP('Données projet'!$B$9,Paramètres!$A$1:$I$89,3,0)*VLOOKUP('Données projet'!$B$9,Paramètres!$A$1:$I$89,5,0)</f>
        <v>-8.7966327555477625E-13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456.86147223520601</v>
      </c>
      <c r="T158" s="60">
        <f t="shared" si="142"/>
        <v>244.45149244446094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2.5579538487363607E-13</v>
      </c>
      <c r="AJ158" s="14">
        <f>AI158*VLOOKUP('Données projet'!$B$10,Paramètres!$A$1:$I$89,3,0)*VLOOKUP('Données projet'!$B$10,Paramètres!$A$1:$I$89,5,0)</f>
        <v>1.6759713616920635E-13</v>
      </c>
      <c r="AK158" s="14">
        <f t="shared" si="164"/>
        <v>2.3709043131075133E-12</v>
      </c>
      <c r="AL158" s="22">
        <f t="shared" si="165"/>
        <v>4.4212233574902864E-12</v>
      </c>
      <c r="AM158" s="60">
        <f t="shared" si="113"/>
        <v>293.33333333333775</v>
      </c>
      <c r="AN158" s="60">
        <f ca="1">AVERAGE(OFFSET($AM$3,0,0,'Données projet'!$E$10+1,1))-AVERAGE(OFFSET($H$3,0,0,'Données projet'!$E$10+1,1))</f>
        <v>170.79567854714986</v>
      </c>
      <c r="AO158" s="60">
        <f t="shared" si="144"/>
        <v>155.92788004111191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-1.1368683772161603E-13</v>
      </c>
      <c r="BE158" s="14">
        <f>BD158*VLOOKUP('Données projet'!$B$11,Paramètres!$A$1:$I$89,3,0)*VLOOKUP('Données projet'!$B$11,Paramètres!$A$1:$I$89,5,0)</f>
        <v>-9.2222762759774927E-14</v>
      </c>
      <c r="BF158" s="14" t="e">
        <f t="shared" si="167"/>
        <v>#NUM!</v>
      </c>
      <c r="BG158" s="22" t="e">
        <f t="shared" si="168"/>
        <v>#NUM!</v>
      </c>
      <c r="BH158" s="60" t="e">
        <f t="shared" si="116"/>
        <v>#NUM!</v>
      </c>
      <c r="BI158" s="60">
        <f ca="1">AVERAGE(OFFSET($BH$3,0,0,'Données projet'!$E$11+1,1))-AVERAGE(OFFSET($H$3,0,0,'Données projet'!$E$11+1,1))</f>
        <v>256.19915261735281</v>
      </c>
      <c r="BJ158" s="60">
        <f t="shared" si="146"/>
        <v>297.47246687305056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-5.6843418860808015E-14</v>
      </c>
      <c r="BZ158" s="14">
        <f>BY158*VLOOKUP('Données projet'!$B$12,Paramètres!$A$1:$I$89,3,0)*VLOOKUP('Données projet'!$B$12,Paramètres!$A$1:$I$89,5,0)</f>
        <v>-5.4092197387944907E-14</v>
      </c>
      <c r="CA158" s="14" t="e">
        <f t="shared" si="170"/>
        <v>#NUM!</v>
      </c>
      <c r="CB158" s="22" t="e">
        <f t="shared" si="171"/>
        <v>#NUM!</v>
      </c>
      <c r="CC158" s="60" t="e">
        <f t="shared" si="119"/>
        <v>#NUM!</v>
      </c>
      <c r="CD158" s="60">
        <f ca="1">AVERAGE(OFFSET($CC$3,0,0,'Données projet'!$E$12+1,1))-AVERAGE(OFFSET($H$3,0,0,'Données projet'!$E$12+1,1))</f>
        <v>353.53401919391234</v>
      </c>
      <c r="CE158" s="60">
        <f t="shared" si="148"/>
        <v>244.7141066773861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-9.0949470177292824E-13</v>
      </c>
      <c r="CU158" s="18">
        <f>CT158*VLOOKUP('Données projet'!$B$13,Paramètres!$A$1:$I$89,3,0)*VLOOKUP('Données projet'!$B$13,Paramètres!$A$1:$I$89,5,0)</f>
        <v>-7.6615833677351478E-13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403.33327536410098</v>
      </c>
      <c r="CZ158" s="60">
        <f t="shared" si="150"/>
        <v>218.26721063098552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3.4106051316484809E-13</v>
      </c>
      <c r="DP158" s="18">
        <f>DO158*VLOOKUP('Données projet'!$B$14,Paramètres!$A$1:$I$89,3,0)*VLOOKUP('Données projet'!$B$14,Paramètres!$A$1:$I$89,5,0)</f>
        <v>2.7134774427395314E-13</v>
      </c>
      <c r="DQ158" s="14">
        <f t="shared" si="176"/>
        <v>3.6292411711343559E-12</v>
      </c>
      <c r="DR158" s="22">
        <f t="shared" si="177"/>
        <v>6.7935256943361388E-12</v>
      </c>
      <c r="DS158" s="60">
        <f t="shared" si="125"/>
        <v>293.33333333334014</v>
      </c>
      <c r="DT158" s="60">
        <f ca="1">AVERAGE(OFFSET($DS$3,0,0,'Données projet'!$E$14+1,1))-AVERAGE(OFFSET($H$3,0,0,'Données projet'!$E$14+1,1))</f>
        <v>317.13087551964747</v>
      </c>
      <c r="DU158" s="60">
        <f t="shared" si="152"/>
        <v>293.43300041793185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1.7053025658242404E-13</v>
      </c>
      <c r="EK158" s="18">
        <f>EJ158*VLOOKUP('Données projet'!$B$15,Paramètres!$A$1:$I$89,3,0)*VLOOKUP('Données projet'!$B$15,Paramètres!$A$1:$I$89,5,0)</f>
        <v>1.3567387213697657E-13</v>
      </c>
      <c r="EL158" s="14">
        <f t="shared" si="179"/>
        <v>1.9670967679808581E-12</v>
      </c>
      <c r="EM158" s="22">
        <f t="shared" si="180"/>
        <v>3.6623255315385623E-12</v>
      </c>
      <c r="EN158" s="60">
        <f t="shared" si="128"/>
        <v>293.33333333333695</v>
      </c>
      <c r="EO158" s="60">
        <f ca="1">AVERAGE(OFFSET($EN$3,0,0,'Données projet'!$E$15+1,1))-AVERAGE(OFFSET($H$3,0,0,'Données projet'!$E$15+1,1))</f>
        <v>253.03289960511904</v>
      </c>
      <c r="EP158" s="60">
        <f t="shared" si="154"/>
        <v>236.85088713056018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1.7053025658242404E-13</v>
      </c>
      <c r="FF158" s="18">
        <f>FE158*VLOOKUP('Données projet'!$B$16,Paramètres!$A$1:$I$89,3,0)*VLOOKUP('Données projet'!$B$16,Paramètres!$A$1:$I$89,5,0)</f>
        <v>1.4897523215040567E-13</v>
      </c>
      <c r="FG158" s="14">
        <f t="shared" si="182"/>
        <v>2.136562777003313E-12</v>
      </c>
      <c r="FH158" s="22">
        <f t="shared" si="183"/>
        <v>3.9806453659427267E-12</v>
      </c>
      <c r="FI158" s="60">
        <f t="shared" si="131"/>
        <v>293.33333333333729</v>
      </c>
      <c r="FJ158" s="60">
        <f ca="1">AVERAGE(OFFSET($FI$3,0,0,'Données projet'!$E$16+1,1))-AVERAGE(OFFSET($H$3,0,0,'Données projet'!$E$16+1,1))</f>
        <v>274.38315511766132</v>
      </c>
      <c r="FK158" s="60">
        <f t="shared" si="156"/>
        <v>255.96663040027175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-1.1368683772161603E-13</v>
      </c>
      <c r="GA158" s="18">
        <f>FZ158*VLOOKUP('Données projet'!$B$17,Paramètres!$A$1:$I$89,3,0)*VLOOKUP('Données projet'!$B$17,Paramètres!$A$1:$I$89,5,0)</f>
        <v>-9.7543306765146564E-14</v>
      </c>
      <c r="GB158" s="14" t="e">
        <f t="shared" si="185"/>
        <v>#NUM!</v>
      </c>
      <c r="GC158" s="22" t="e">
        <f t="shared" si="186"/>
        <v>#NUM!</v>
      </c>
      <c r="GD158" s="60" t="e">
        <f t="shared" si="134"/>
        <v>#NUM!</v>
      </c>
      <c r="GE158" s="60">
        <f ca="1">AVERAGE(OFFSET($GD$3,0,0,'Données projet'!$E$17+1,1))-AVERAGE(OFFSET($H$3,0,0,'Données projet'!$E$17+1,1))</f>
        <v>445.81166342116865</v>
      </c>
      <c r="GF158" s="60">
        <f t="shared" si="158"/>
        <v>230.82970731138215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5.6843418860808015E-14</v>
      </c>
      <c r="GV158" s="18">
        <f>GU158*VLOOKUP('Données projet'!$B$18,Paramètres!$A$1:$I$89,3,0)*VLOOKUP('Données projet'!$B$18,Paramètres!$A$1:$I$89,5,0)</f>
        <v>4.4337866711430253E-14</v>
      </c>
      <c r="GW158" s="14">
        <f t="shared" si="188"/>
        <v>7.3222115536967035E-13</v>
      </c>
      <c r="GX158" s="22">
        <f t="shared" si="189"/>
        <v>1.3525069634579169E-12</v>
      </c>
      <c r="GY158" s="60">
        <f t="shared" si="137"/>
        <v>293.33333333333468</v>
      </c>
      <c r="GZ158" s="60">
        <f ca="1">AVERAGE(OFFSET($GY$3,0,0,'Données projet'!$E$18+1,1))-AVERAGE(OFFSET($H$3,0,0,'Données projet'!$E$18+1,1))</f>
        <v>289.19475369871481</v>
      </c>
      <c r="HA158" s="60">
        <f t="shared" si="160"/>
        <v>283.48738729114024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projet'!$B$18,Paramètres!$A$1:$I$89,3,0)*0.475*44/12</f>
        <v>0</v>
      </c>
      <c r="HH158" s="23">
        <f>EXP(-LN(2)/25)*HH157+(1-EXP(-LN(2)/25))/(LN(2)/25)*Calculateur!HC158*Calculateur!HE158*VLOOKUP('Données projet'!$B$18,Paramètres!$A$1:$I$89,3,0)*0.475*44/12</f>
        <v>0</v>
      </c>
      <c r="HI158" s="23">
        <f>EXP(-LN(2)/2)*HI157+(1-EXP(-LN(2)/2))/(LN(2)/2)*HC158*HF158*VLOOKUP('Données projet'!$B$18,Paramètres!$A$1:$I$89,3,0)*0.475*44/12</f>
        <v>0</v>
      </c>
      <c r="HJ158" s="24">
        <f t="shared" si="190"/>
        <v>0</v>
      </c>
    </row>
    <row r="159" spans="1:218" x14ac:dyDescent="0.3">
      <c r="A159" s="11">
        <f t="shared" si="161"/>
        <v>156</v>
      </c>
      <c r="B159" s="75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8">
        <f t="shared" si="110"/>
        <v>256.66666666666669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-9.0949470177292824E-13</v>
      </c>
      <c r="O159" s="14">
        <f>N159*VLOOKUP('Données projet'!$B$9,Paramètres!$A$1:$I$89,3,0)*VLOOKUP('Données projet'!$B$9,Paramètres!$A$1:$I$89,5,0)</f>
        <v>-8.7966327555477625E-13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456.86147223520601</v>
      </c>
      <c r="T159" s="60">
        <f t="shared" si="142"/>
        <v>244.45149244446094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2.5579538487363607E-13</v>
      </c>
      <c r="AJ159" s="14">
        <f>AI159*VLOOKUP('Données projet'!$B$10,Paramètres!$A$1:$I$89,3,0)*VLOOKUP('Données projet'!$B$10,Paramètres!$A$1:$I$89,5,0)</f>
        <v>1.6759713616920635E-13</v>
      </c>
      <c r="AK159" s="14">
        <f t="shared" si="164"/>
        <v>2.3709043131075133E-12</v>
      </c>
      <c r="AL159" s="22">
        <f t="shared" si="165"/>
        <v>4.4212233574902864E-12</v>
      </c>
      <c r="AM159" s="60">
        <f t="shared" si="113"/>
        <v>293.33333333333775</v>
      </c>
      <c r="AN159" s="60">
        <f ca="1">AVERAGE(OFFSET($AM$3,0,0,'Données projet'!$E$10+1,1))-AVERAGE(OFFSET($H$3,0,0,'Données projet'!$E$10+1,1))</f>
        <v>170.79567854714986</v>
      </c>
      <c r="AO159" s="60">
        <f t="shared" si="144"/>
        <v>155.92788004111191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-1.1368683772161603E-13</v>
      </c>
      <c r="BE159" s="14">
        <f>BD159*VLOOKUP('Données projet'!$B$11,Paramètres!$A$1:$I$89,3,0)*VLOOKUP('Données projet'!$B$11,Paramètres!$A$1:$I$89,5,0)</f>
        <v>-9.2222762759774927E-14</v>
      </c>
      <c r="BF159" s="14" t="e">
        <f t="shared" si="167"/>
        <v>#NUM!</v>
      </c>
      <c r="BG159" s="22" t="e">
        <f t="shared" si="168"/>
        <v>#NUM!</v>
      </c>
      <c r="BH159" s="60" t="e">
        <f t="shared" si="116"/>
        <v>#NUM!</v>
      </c>
      <c r="BI159" s="60">
        <f ca="1">AVERAGE(OFFSET($BH$3,0,0,'Données projet'!$E$11+1,1))-AVERAGE(OFFSET($H$3,0,0,'Données projet'!$E$11+1,1))</f>
        <v>256.19915261735281</v>
      </c>
      <c r="BJ159" s="60">
        <f t="shared" si="146"/>
        <v>297.47246687305056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-5.6843418860808015E-14</v>
      </c>
      <c r="BZ159" s="14">
        <f>BY159*VLOOKUP('Données projet'!$B$12,Paramètres!$A$1:$I$89,3,0)*VLOOKUP('Données projet'!$B$12,Paramètres!$A$1:$I$89,5,0)</f>
        <v>-5.4092197387944907E-14</v>
      </c>
      <c r="CA159" s="14" t="e">
        <f t="shared" si="170"/>
        <v>#NUM!</v>
      </c>
      <c r="CB159" s="22" t="e">
        <f t="shared" si="171"/>
        <v>#NUM!</v>
      </c>
      <c r="CC159" s="60" t="e">
        <f t="shared" si="119"/>
        <v>#NUM!</v>
      </c>
      <c r="CD159" s="60">
        <f ca="1">AVERAGE(OFFSET($CC$3,0,0,'Données projet'!$E$12+1,1))-AVERAGE(OFFSET($H$3,0,0,'Données projet'!$E$12+1,1))</f>
        <v>353.53401919391234</v>
      </c>
      <c r="CE159" s="60">
        <f t="shared" si="148"/>
        <v>244.7141066773861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-9.0949470177292824E-13</v>
      </c>
      <c r="CU159" s="18">
        <f>CT159*VLOOKUP('Données projet'!$B$13,Paramètres!$A$1:$I$89,3,0)*VLOOKUP('Données projet'!$B$13,Paramètres!$A$1:$I$89,5,0)</f>
        <v>-7.6615833677351478E-13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403.33327536410098</v>
      </c>
      <c r="CZ159" s="60">
        <f t="shared" si="150"/>
        <v>218.26721063098552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3.4106051316484809E-13</v>
      </c>
      <c r="DP159" s="18">
        <f>DO159*VLOOKUP('Données projet'!$B$14,Paramètres!$A$1:$I$89,3,0)*VLOOKUP('Données projet'!$B$14,Paramètres!$A$1:$I$89,5,0)</f>
        <v>2.7134774427395314E-13</v>
      </c>
      <c r="DQ159" s="14">
        <f t="shared" si="176"/>
        <v>3.6292411711343559E-12</v>
      </c>
      <c r="DR159" s="22">
        <f t="shared" si="177"/>
        <v>6.7935256943361388E-12</v>
      </c>
      <c r="DS159" s="60">
        <f t="shared" si="125"/>
        <v>293.33333333334014</v>
      </c>
      <c r="DT159" s="60">
        <f ca="1">AVERAGE(OFFSET($DS$3,0,0,'Données projet'!$E$14+1,1))-AVERAGE(OFFSET($H$3,0,0,'Données projet'!$E$14+1,1))</f>
        <v>317.13087551964747</v>
      </c>
      <c r="DU159" s="60">
        <f t="shared" si="152"/>
        <v>293.43300041793185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1.7053025658242404E-13</v>
      </c>
      <c r="EK159" s="18">
        <f>EJ159*VLOOKUP('Données projet'!$B$15,Paramètres!$A$1:$I$89,3,0)*VLOOKUP('Données projet'!$B$15,Paramètres!$A$1:$I$89,5,0)</f>
        <v>1.3567387213697657E-13</v>
      </c>
      <c r="EL159" s="14">
        <f t="shared" si="179"/>
        <v>1.9670967679808581E-12</v>
      </c>
      <c r="EM159" s="22">
        <f t="shared" si="180"/>
        <v>3.6623255315385623E-12</v>
      </c>
      <c r="EN159" s="60">
        <f t="shared" si="128"/>
        <v>293.33333333333695</v>
      </c>
      <c r="EO159" s="60">
        <f ca="1">AVERAGE(OFFSET($EN$3,0,0,'Données projet'!$E$15+1,1))-AVERAGE(OFFSET($H$3,0,0,'Données projet'!$E$15+1,1))</f>
        <v>253.03289960511904</v>
      </c>
      <c r="EP159" s="60">
        <f t="shared" si="154"/>
        <v>236.85088713056018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1.7053025658242404E-13</v>
      </c>
      <c r="FF159" s="18">
        <f>FE159*VLOOKUP('Données projet'!$B$16,Paramètres!$A$1:$I$89,3,0)*VLOOKUP('Données projet'!$B$16,Paramètres!$A$1:$I$89,5,0)</f>
        <v>1.4897523215040567E-13</v>
      </c>
      <c r="FG159" s="14">
        <f t="shared" si="182"/>
        <v>2.136562777003313E-12</v>
      </c>
      <c r="FH159" s="22">
        <f t="shared" si="183"/>
        <v>3.9806453659427267E-12</v>
      </c>
      <c r="FI159" s="60">
        <f t="shared" si="131"/>
        <v>293.33333333333729</v>
      </c>
      <c r="FJ159" s="60">
        <f ca="1">AVERAGE(OFFSET($FI$3,0,0,'Données projet'!$E$16+1,1))-AVERAGE(OFFSET($H$3,0,0,'Données projet'!$E$16+1,1))</f>
        <v>274.38315511766132</v>
      </c>
      <c r="FK159" s="60">
        <f t="shared" si="156"/>
        <v>255.96663040027175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-1.1368683772161603E-13</v>
      </c>
      <c r="GA159" s="18">
        <f>FZ159*VLOOKUP('Données projet'!$B$17,Paramètres!$A$1:$I$89,3,0)*VLOOKUP('Données projet'!$B$17,Paramètres!$A$1:$I$89,5,0)</f>
        <v>-9.7543306765146564E-14</v>
      </c>
      <c r="GB159" s="14" t="e">
        <f t="shared" si="185"/>
        <v>#NUM!</v>
      </c>
      <c r="GC159" s="22" t="e">
        <f t="shared" si="186"/>
        <v>#NUM!</v>
      </c>
      <c r="GD159" s="60" t="e">
        <f t="shared" si="134"/>
        <v>#NUM!</v>
      </c>
      <c r="GE159" s="60">
        <f ca="1">AVERAGE(OFFSET($GD$3,0,0,'Données projet'!$E$17+1,1))-AVERAGE(OFFSET($H$3,0,0,'Données projet'!$E$17+1,1))</f>
        <v>445.81166342116865</v>
      </c>
      <c r="GF159" s="60">
        <f t="shared" si="158"/>
        <v>230.82970731138215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5.6843418860808015E-14</v>
      </c>
      <c r="GV159" s="18">
        <f>GU159*VLOOKUP('Données projet'!$B$18,Paramètres!$A$1:$I$89,3,0)*VLOOKUP('Données projet'!$B$18,Paramètres!$A$1:$I$89,5,0)</f>
        <v>4.4337866711430253E-14</v>
      </c>
      <c r="GW159" s="14">
        <f t="shared" si="188"/>
        <v>7.3222115536967035E-13</v>
      </c>
      <c r="GX159" s="22">
        <f t="shared" si="189"/>
        <v>1.3525069634579169E-12</v>
      </c>
      <c r="GY159" s="60">
        <f t="shared" si="137"/>
        <v>293.33333333333468</v>
      </c>
      <c r="GZ159" s="60">
        <f ca="1">AVERAGE(OFFSET($GY$3,0,0,'Données projet'!$E$18+1,1))-AVERAGE(OFFSET($H$3,0,0,'Données projet'!$E$18+1,1))</f>
        <v>289.19475369871481</v>
      </c>
      <c r="HA159" s="60">
        <f t="shared" si="160"/>
        <v>283.48738729114024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projet'!$B$18,Paramètres!$A$1:$I$89,3,0)*0.475*44/12</f>
        <v>0</v>
      </c>
      <c r="HH159" s="23">
        <f>EXP(-LN(2)/25)*HH158+(1-EXP(-LN(2)/25))/(LN(2)/25)*Calculateur!HC159*Calculateur!HE159*VLOOKUP('Données projet'!$B$18,Paramètres!$A$1:$I$89,3,0)*0.475*44/12</f>
        <v>0</v>
      </c>
      <c r="HI159" s="23">
        <f>EXP(-LN(2)/2)*HI158+(1-EXP(-LN(2)/2))/(LN(2)/2)*HC159*HF159*VLOOKUP('Données projet'!$B$18,Paramètres!$A$1:$I$89,3,0)*0.475*44/12</f>
        <v>0</v>
      </c>
      <c r="HJ159" s="24">
        <f t="shared" si="190"/>
        <v>0</v>
      </c>
    </row>
    <row r="160" spans="1:218" x14ac:dyDescent="0.3">
      <c r="A160" s="11">
        <f t="shared" si="161"/>
        <v>157</v>
      </c>
      <c r="B160" s="75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8">
        <f t="shared" si="110"/>
        <v>256.66666666666669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-9.0949470177292824E-13</v>
      </c>
      <c r="O160" s="14">
        <f>N160*VLOOKUP('Données projet'!$B$9,Paramètres!$A$1:$I$89,3,0)*VLOOKUP('Données projet'!$B$9,Paramètres!$A$1:$I$89,5,0)</f>
        <v>-8.7966327555477625E-13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456.86147223520601</v>
      </c>
      <c r="T160" s="60">
        <f t="shared" si="142"/>
        <v>244.45149244446094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2.5579538487363607E-13</v>
      </c>
      <c r="AJ160" s="14">
        <f>AI160*VLOOKUP('Données projet'!$B$10,Paramètres!$A$1:$I$89,3,0)*VLOOKUP('Données projet'!$B$10,Paramètres!$A$1:$I$89,5,0)</f>
        <v>1.6759713616920635E-13</v>
      </c>
      <c r="AK160" s="14">
        <f t="shared" si="164"/>
        <v>2.3709043131075133E-12</v>
      </c>
      <c r="AL160" s="22">
        <f t="shared" si="165"/>
        <v>4.4212233574902864E-12</v>
      </c>
      <c r="AM160" s="60">
        <f t="shared" si="113"/>
        <v>293.33333333333775</v>
      </c>
      <c r="AN160" s="60">
        <f ca="1">AVERAGE(OFFSET($AM$3,0,0,'Données projet'!$E$10+1,1))-AVERAGE(OFFSET($H$3,0,0,'Données projet'!$E$10+1,1))</f>
        <v>170.79567854714986</v>
      </c>
      <c r="AO160" s="60">
        <f t="shared" si="144"/>
        <v>155.92788004111191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-1.1368683772161603E-13</v>
      </c>
      <c r="BE160" s="14">
        <f>BD160*VLOOKUP('Données projet'!$B$11,Paramètres!$A$1:$I$89,3,0)*VLOOKUP('Données projet'!$B$11,Paramètres!$A$1:$I$89,5,0)</f>
        <v>-9.2222762759774927E-14</v>
      </c>
      <c r="BF160" s="14" t="e">
        <f t="shared" si="167"/>
        <v>#NUM!</v>
      </c>
      <c r="BG160" s="22" t="e">
        <f t="shared" si="168"/>
        <v>#NUM!</v>
      </c>
      <c r="BH160" s="60" t="e">
        <f t="shared" si="116"/>
        <v>#NUM!</v>
      </c>
      <c r="BI160" s="60">
        <f ca="1">AVERAGE(OFFSET($BH$3,0,0,'Données projet'!$E$11+1,1))-AVERAGE(OFFSET($H$3,0,0,'Données projet'!$E$11+1,1))</f>
        <v>256.19915261735281</v>
      </c>
      <c r="BJ160" s="60">
        <f t="shared" si="146"/>
        <v>297.47246687305056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-5.6843418860808015E-14</v>
      </c>
      <c r="BZ160" s="14">
        <f>BY160*VLOOKUP('Données projet'!$B$12,Paramètres!$A$1:$I$89,3,0)*VLOOKUP('Données projet'!$B$12,Paramètres!$A$1:$I$89,5,0)</f>
        <v>-5.4092197387944907E-14</v>
      </c>
      <c r="CA160" s="14" t="e">
        <f t="shared" si="170"/>
        <v>#NUM!</v>
      </c>
      <c r="CB160" s="22" t="e">
        <f t="shared" si="171"/>
        <v>#NUM!</v>
      </c>
      <c r="CC160" s="60" t="e">
        <f t="shared" si="119"/>
        <v>#NUM!</v>
      </c>
      <c r="CD160" s="60">
        <f ca="1">AVERAGE(OFFSET($CC$3,0,0,'Données projet'!$E$12+1,1))-AVERAGE(OFFSET($H$3,0,0,'Données projet'!$E$12+1,1))</f>
        <v>353.53401919391234</v>
      </c>
      <c r="CE160" s="60">
        <f t="shared" si="148"/>
        <v>244.7141066773861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-9.0949470177292824E-13</v>
      </c>
      <c r="CU160" s="18">
        <f>CT160*VLOOKUP('Données projet'!$B$13,Paramètres!$A$1:$I$89,3,0)*VLOOKUP('Données projet'!$B$13,Paramètres!$A$1:$I$89,5,0)</f>
        <v>-7.6615833677351478E-13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403.33327536410098</v>
      </c>
      <c r="CZ160" s="60">
        <f t="shared" si="150"/>
        <v>218.26721063098552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3.4106051316484809E-13</v>
      </c>
      <c r="DP160" s="18">
        <f>DO160*VLOOKUP('Données projet'!$B$14,Paramètres!$A$1:$I$89,3,0)*VLOOKUP('Données projet'!$B$14,Paramètres!$A$1:$I$89,5,0)</f>
        <v>2.7134774427395314E-13</v>
      </c>
      <c r="DQ160" s="14">
        <f t="shared" si="176"/>
        <v>3.6292411711343559E-12</v>
      </c>
      <c r="DR160" s="22">
        <f t="shared" si="177"/>
        <v>6.7935256943361388E-12</v>
      </c>
      <c r="DS160" s="60">
        <f t="shared" si="125"/>
        <v>293.33333333334014</v>
      </c>
      <c r="DT160" s="60">
        <f ca="1">AVERAGE(OFFSET($DS$3,0,0,'Données projet'!$E$14+1,1))-AVERAGE(OFFSET($H$3,0,0,'Données projet'!$E$14+1,1))</f>
        <v>317.13087551964747</v>
      </c>
      <c r="DU160" s="60">
        <f t="shared" si="152"/>
        <v>293.43300041793185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1.7053025658242404E-13</v>
      </c>
      <c r="EK160" s="18">
        <f>EJ160*VLOOKUP('Données projet'!$B$15,Paramètres!$A$1:$I$89,3,0)*VLOOKUP('Données projet'!$B$15,Paramètres!$A$1:$I$89,5,0)</f>
        <v>1.3567387213697657E-13</v>
      </c>
      <c r="EL160" s="14">
        <f t="shared" si="179"/>
        <v>1.9670967679808581E-12</v>
      </c>
      <c r="EM160" s="22">
        <f t="shared" si="180"/>
        <v>3.6623255315385623E-12</v>
      </c>
      <c r="EN160" s="60">
        <f t="shared" si="128"/>
        <v>293.33333333333695</v>
      </c>
      <c r="EO160" s="60">
        <f ca="1">AVERAGE(OFFSET($EN$3,0,0,'Données projet'!$E$15+1,1))-AVERAGE(OFFSET($H$3,0,0,'Données projet'!$E$15+1,1))</f>
        <v>253.03289960511904</v>
      </c>
      <c r="EP160" s="60">
        <f t="shared" si="154"/>
        <v>236.85088713056018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1.7053025658242404E-13</v>
      </c>
      <c r="FF160" s="18">
        <f>FE160*VLOOKUP('Données projet'!$B$16,Paramètres!$A$1:$I$89,3,0)*VLOOKUP('Données projet'!$B$16,Paramètres!$A$1:$I$89,5,0)</f>
        <v>1.4897523215040567E-13</v>
      </c>
      <c r="FG160" s="14">
        <f t="shared" si="182"/>
        <v>2.136562777003313E-12</v>
      </c>
      <c r="FH160" s="22">
        <f t="shared" si="183"/>
        <v>3.9806453659427267E-12</v>
      </c>
      <c r="FI160" s="60">
        <f t="shared" si="131"/>
        <v>293.33333333333729</v>
      </c>
      <c r="FJ160" s="60">
        <f ca="1">AVERAGE(OFFSET($FI$3,0,0,'Données projet'!$E$16+1,1))-AVERAGE(OFFSET($H$3,0,0,'Données projet'!$E$16+1,1))</f>
        <v>274.38315511766132</v>
      </c>
      <c r="FK160" s="60">
        <f t="shared" si="156"/>
        <v>255.96663040027175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-1.1368683772161603E-13</v>
      </c>
      <c r="GA160" s="18">
        <f>FZ160*VLOOKUP('Données projet'!$B$17,Paramètres!$A$1:$I$89,3,0)*VLOOKUP('Données projet'!$B$17,Paramètres!$A$1:$I$89,5,0)</f>
        <v>-9.7543306765146564E-14</v>
      </c>
      <c r="GB160" s="14" t="e">
        <f t="shared" si="185"/>
        <v>#NUM!</v>
      </c>
      <c r="GC160" s="22" t="e">
        <f t="shared" si="186"/>
        <v>#NUM!</v>
      </c>
      <c r="GD160" s="60" t="e">
        <f t="shared" si="134"/>
        <v>#NUM!</v>
      </c>
      <c r="GE160" s="60">
        <f ca="1">AVERAGE(OFFSET($GD$3,0,0,'Données projet'!$E$17+1,1))-AVERAGE(OFFSET($H$3,0,0,'Données projet'!$E$17+1,1))</f>
        <v>445.81166342116865</v>
      </c>
      <c r="GF160" s="60">
        <f t="shared" si="158"/>
        <v>230.82970731138215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5.6843418860808015E-14</v>
      </c>
      <c r="GV160" s="18">
        <f>GU160*VLOOKUP('Données projet'!$B$18,Paramètres!$A$1:$I$89,3,0)*VLOOKUP('Données projet'!$B$18,Paramètres!$A$1:$I$89,5,0)</f>
        <v>4.4337866711430253E-14</v>
      </c>
      <c r="GW160" s="14">
        <f t="shared" si="188"/>
        <v>7.3222115536967035E-13</v>
      </c>
      <c r="GX160" s="22">
        <f t="shared" si="189"/>
        <v>1.3525069634579169E-12</v>
      </c>
      <c r="GY160" s="60">
        <f t="shared" si="137"/>
        <v>293.33333333333468</v>
      </c>
      <c r="GZ160" s="60">
        <f ca="1">AVERAGE(OFFSET($GY$3,0,0,'Données projet'!$E$18+1,1))-AVERAGE(OFFSET($H$3,0,0,'Données projet'!$E$18+1,1))</f>
        <v>289.19475369871481</v>
      </c>
      <c r="HA160" s="60">
        <f t="shared" si="160"/>
        <v>283.48738729114024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projet'!$B$18,Paramètres!$A$1:$I$89,3,0)*0.475*44/12</f>
        <v>0</v>
      </c>
      <c r="HH160" s="23">
        <f>EXP(-LN(2)/25)*HH159+(1-EXP(-LN(2)/25))/(LN(2)/25)*Calculateur!HC160*Calculateur!HE160*VLOOKUP('Données projet'!$B$18,Paramètres!$A$1:$I$89,3,0)*0.475*44/12</f>
        <v>0</v>
      </c>
      <c r="HI160" s="23">
        <f>EXP(-LN(2)/2)*HI159+(1-EXP(-LN(2)/2))/(LN(2)/2)*HC160*HF160*VLOOKUP('Données projet'!$B$18,Paramètres!$A$1:$I$89,3,0)*0.475*44/12</f>
        <v>0</v>
      </c>
      <c r="HJ160" s="24">
        <f t="shared" si="190"/>
        <v>0</v>
      </c>
    </row>
    <row r="161" spans="1:218" x14ac:dyDescent="0.3">
      <c r="A161" s="11">
        <f t="shared" si="161"/>
        <v>158</v>
      </c>
      <c r="B161" s="75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8">
        <f t="shared" si="110"/>
        <v>256.66666666666669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-9.0949470177292824E-13</v>
      </c>
      <c r="O161" s="14">
        <f>N161*VLOOKUP('Données projet'!$B$9,Paramètres!$A$1:$I$89,3,0)*VLOOKUP('Données projet'!$B$9,Paramètres!$A$1:$I$89,5,0)</f>
        <v>-8.7966327555477625E-13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456.86147223520601</v>
      </c>
      <c r="T161" s="60">
        <f t="shared" si="142"/>
        <v>244.45149244446094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2.5579538487363607E-13</v>
      </c>
      <c r="AJ161" s="14">
        <f>AI161*VLOOKUP('Données projet'!$B$10,Paramètres!$A$1:$I$89,3,0)*VLOOKUP('Données projet'!$B$10,Paramètres!$A$1:$I$89,5,0)</f>
        <v>1.6759713616920635E-13</v>
      </c>
      <c r="AK161" s="14">
        <f t="shared" si="164"/>
        <v>2.3709043131075133E-12</v>
      </c>
      <c r="AL161" s="22">
        <f t="shared" si="165"/>
        <v>4.4212233574902864E-12</v>
      </c>
      <c r="AM161" s="60">
        <f t="shared" si="113"/>
        <v>293.33333333333775</v>
      </c>
      <c r="AN161" s="60">
        <f ca="1">AVERAGE(OFFSET($AM$3,0,0,'Données projet'!$E$10+1,1))-AVERAGE(OFFSET($H$3,0,0,'Données projet'!$E$10+1,1))</f>
        <v>170.79567854714986</v>
      </c>
      <c r="AO161" s="60">
        <f t="shared" si="144"/>
        <v>155.92788004111191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-1.1368683772161603E-13</v>
      </c>
      <c r="BE161" s="14">
        <f>BD161*VLOOKUP('Données projet'!$B$11,Paramètres!$A$1:$I$89,3,0)*VLOOKUP('Données projet'!$B$11,Paramètres!$A$1:$I$89,5,0)</f>
        <v>-9.2222762759774927E-14</v>
      </c>
      <c r="BF161" s="14" t="e">
        <f t="shared" si="167"/>
        <v>#NUM!</v>
      </c>
      <c r="BG161" s="22" t="e">
        <f t="shared" si="168"/>
        <v>#NUM!</v>
      </c>
      <c r="BH161" s="60" t="e">
        <f t="shared" si="116"/>
        <v>#NUM!</v>
      </c>
      <c r="BI161" s="60">
        <f ca="1">AVERAGE(OFFSET($BH$3,0,0,'Données projet'!$E$11+1,1))-AVERAGE(OFFSET($H$3,0,0,'Données projet'!$E$11+1,1))</f>
        <v>256.19915261735281</v>
      </c>
      <c r="BJ161" s="60">
        <f t="shared" si="146"/>
        <v>297.47246687305056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-5.6843418860808015E-14</v>
      </c>
      <c r="BZ161" s="14">
        <f>BY161*VLOOKUP('Données projet'!$B$12,Paramètres!$A$1:$I$89,3,0)*VLOOKUP('Données projet'!$B$12,Paramètres!$A$1:$I$89,5,0)</f>
        <v>-5.4092197387944907E-14</v>
      </c>
      <c r="CA161" s="14" t="e">
        <f t="shared" si="170"/>
        <v>#NUM!</v>
      </c>
      <c r="CB161" s="22" t="e">
        <f t="shared" si="171"/>
        <v>#NUM!</v>
      </c>
      <c r="CC161" s="60" t="e">
        <f t="shared" si="119"/>
        <v>#NUM!</v>
      </c>
      <c r="CD161" s="60">
        <f ca="1">AVERAGE(OFFSET($CC$3,0,0,'Données projet'!$E$12+1,1))-AVERAGE(OFFSET($H$3,0,0,'Données projet'!$E$12+1,1))</f>
        <v>353.53401919391234</v>
      </c>
      <c r="CE161" s="60">
        <f t="shared" si="148"/>
        <v>244.7141066773861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-9.0949470177292824E-13</v>
      </c>
      <c r="CU161" s="18">
        <f>CT161*VLOOKUP('Données projet'!$B$13,Paramètres!$A$1:$I$89,3,0)*VLOOKUP('Données projet'!$B$13,Paramètres!$A$1:$I$89,5,0)</f>
        <v>-7.6615833677351478E-13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403.33327536410098</v>
      </c>
      <c r="CZ161" s="60">
        <f t="shared" si="150"/>
        <v>218.26721063098552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3.4106051316484809E-13</v>
      </c>
      <c r="DP161" s="18">
        <f>DO161*VLOOKUP('Données projet'!$B$14,Paramètres!$A$1:$I$89,3,0)*VLOOKUP('Données projet'!$B$14,Paramètres!$A$1:$I$89,5,0)</f>
        <v>2.7134774427395314E-13</v>
      </c>
      <c r="DQ161" s="14">
        <f t="shared" si="176"/>
        <v>3.6292411711343559E-12</v>
      </c>
      <c r="DR161" s="22">
        <f t="shared" si="177"/>
        <v>6.7935256943361388E-12</v>
      </c>
      <c r="DS161" s="60">
        <f t="shared" si="125"/>
        <v>293.33333333334014</v>
      </c>
      <c r="DT161" s="60">
        <f ca="1">AVERAGE(OFFSET($DS$3,0,0,'Données projet'!$E$14+1,1))-AVERAGE(OFFSET($H$3,0,0,'Données projet'!$E$14+1,1))</f>
        <v>317.13087551964747</v>
      </c>
      <c r="DU161" s="60">
        <f t="shared" si="152"/>
        <v>293.43300041793185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1.7053025658242404E-13</v>
      </c>
      <c r="EK161" s="18">
        <f>EJ161*VLOOKUP('Données projet'!$B$15,Paramètres!$A$1:$I$89,3,0)*VLOOKUP('Données projet'!$B$15,Paramètres!$A$1:$I$89,5,0)</f>
        <v>1.3567387213697657E-13</v>
      </c>
      <c r="EL161" s="14">
        <f t="shared" si="179"/>
        <v>1.9670967679808581E-12</v>
      </c>
      <c r="EM161" s="22">
        <f t="shared" si="180"/>
        <v>3.6623255315385623E-12</v>
      </c>
      <c r="EN161" s="60">
        <f t="shared" si="128"/>
        <v>293.33333333333695</v>
      </c>
      <c r="EO161" s="60">
        <f ca="1">AVERAGE(OFFSET($EN$3,0,0,'Données projet'!$E$15+1,1))-AVERAGE(OFFSET($H$3,0,0,'Données projet'!$E$15+1,1))</f>
        <v>253.03289960511904</v>
      </c>
      <c r="EP161" s="60">
        <f t="shared" si="154"/>
        <v>236.85088713056018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1.7053025658242404E-13</v>
      </c>
      <c r="FF161" s="18">
        <f>FE161*VLOOKUP('Données projet'!$B$16,Paramètres!$A$1:$I$89,3,0)*VLOOKUP('Données projet'!$B$16,Paramètres!$A$1:$I$89,5,0)</f>
        <v>1.4897523215040567E-13</v>
      </c>
      <c r="FG161" s="14">
        <f t="shared" si="182"/>
        <v>2.136562777003313E-12</v>
      </c>
      <c r="FH161" s="22">
        <f t="shared" si="183"/>
        <v>3.9806453659427267E-12</v>
      </c>
      <c r="FI161" s="60">
        <f t="shared" si="131"/>
        <v>293.33333333333729</v>
      </c>
      <c r="FJ161" s="60">
        <f ca="1">AVERAGE(OFFSET($FI$3,0,0,'Données projet'!$E$16+1,1))-AVERAGE(OFFSET($H$3,0,0,'Données projet'!$E$16+1,1))</f>
        <v>274.38315511766132</v>
      </c>
      <c r="FK161" s="60">
        <f t="shared" si="156"/>
        <v>255.96663040027175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-1.1368683772161603E-13</v>
      </c>
      <c r="GA161" s="18">
        <f>FZ161*VLOOKUP('Données projet'!$B$17,Paramètres!$A$1:$I$89,3,0)*VLOOKUP('Données projet'!$B$17,Paramètres!$A$1:$I$89,5,0)</f>
        <v>-9.7543306765146564E-14</v>
      </c>
      <c r="GB161" s="14" t="e">
        <f t="shared" si="185"/>
        <v>#NUM!</v>
      </c>
      <c r="GC161" s="22" t="e">
        <f t="shared" si="186"/>
        <v>#NUM!</v>
      </c>
      <c r="GD161" s="60" t="e">
        <f t="shared" si="134"/>
        <v>#NUM!</v>
      </c>
      <c r="GE161" s="60">
        <f ca="1">AVERAGE(OFFSET($GD$3,0,0,'Données projet'!$E$17+1,1))-AVERAGE(OFFSET($H$3,0,0,'Données projet'!$E$17+1,1))</f>
        <v>445.81166342116865</v>
      </c>
      <c r="GF161" s="60">
        <f t="shared" si="158"/>
        <v>230.82970731138215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5.6843418860808015E-14</v>
      </c>
      <c r="GV161" s="18">
        <f>GU161*VLOOKUP('Données projet'!$B$18,Paramètres!$A$1:$I$89,3,0)*VLOOKUP('Données projet'!$B$18,Paramètres!$A$1:$I$89,5,0)</f>
        <v>4.4337866711430253E-14</v>
      </c>
      <c r="GW161" s="14">
        <f t="shared" si="188"/>
        <v>7.3222115536967035E-13</v>
      </c>
      <c r="GX161" s="22">
        <f t="shared" si="189"/>
        <v>1.3525069634579169E-12</v>
      </c>
      <c r="GY161" s="60">
        <f t="shared" si="137"/>
        <v>293.33333333333468</v>
      </c>
      <c r="GZ161" s="60">
        <f ca="1">AVERAGE(OFFSET($GY$3,0,0,'Données projet'!$E$18+1,1))-AVERAGE(OFFSET($H$3,0,0,'Données projet'!$E$18+1,1))</f>
        <v>289.19475369871481</v>
      </c>
      <c r="HA161" s="60">
        <f t="shared" si="160"/>
        <v>283.48738729114024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projet'!$B$18,Paramètres!$A$1:$I$89,3,0)*0.475*44/12</f>
        <v>0</v>
      </c>
      <c r="HH161" s="23">
        <f>EXP(-LN(2)/25)*HH160+(1-EXP(-LN(2)/25))/(LN(2)/25)*Calculateur!HC161*Calculateur!HE161*VLOOKUP('Données projet'!$B$18,Paramètres!$A$1:$I$89,3,0)*0.475*44/12</f>
        <v>0</v>
      </c>
      <c r="HI161" s="23">
        <f>EXP(-LN(2)/2)*HI160+(1-EXP(-LN(2)/2))/(LN(2)/2)*HC161*HF161*VLOOKUP('Données projet'!$B$18,Paramètres!$A$1:$I$89,3,0)*0.475*44/12</f>
        <v>0</v>
      </c>
      <c r="HJ161" s="24">
        <f t="shared" si="190"/>
        <v>0</v>
      </c>
    </row>
    <row r="162" spans="1:218" x14ac:dyDescent="0.3">
      <c r="A162" s="11">
        <f t="shared" si="161"/>
        <v>159</v>
      </c>
      <c r="B162" s="75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8">
        <f t="shared" si="110"/>
        <v>256.66666666666669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-9.0949470177292824E-13</v>
      </c>
      <c r="O162" s="14">
        <f>N162*VLOOKUP('Données projet'!$B$9,Paramètres!$A$1:$I$89,3,0)*VLOOKUP('Données projet'!$B$9,Paramètres!$A$1:$I$89,5,0)</f>
        <v>-8.7966327555477625E-13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456.86147223520601</v>
      </c>
      <c r="T162" s="60">
        <f t="shared" si="142"/>
        <v>244.45149244446094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2.5579538487363607E-13</v>
      </c>
      <c r="AJ162" s="14">
        <f>AI162*VLOOKUP('Données projet'!$B$10,Paramètres!$A$1:$I$89,3,0)*VLOOKUP('Données projet'!$B$10,Paramètres!$A$1:$I$89,5,0)</f>
        <v>1.6759713616920635E-13</v>
      </c>
      <c r="AK162" s="14">
        <f t="shared" si="164"/>
        <v>2.3709043131075133E-12</v>
      </c>
      <c r="AL162" s="22">
        <f t="shared" si="165"/>
        <v>4.4212233574902864E-12</v>
      </c>
      <c r="AM162" s="60">
        <f t="shared" si="113"/>
        <v>293.33333333333775</v>
      </c>
      <c r="AN162" s="60">
        <f ca="1">AVERAGE(OFFSET($AM$3,0,0,'Données projet'!$E$10+1,1))-AVERAGE(OFFSET($H$3,0,0,'Données projet'!$E$10+1,1))</f>
        <v>170.79567854714986</v>
      </c>
      <c r="AO162" s="60">
        <f t="shared" si="144"/>
        <v>155.92788004111191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-1.1368683772161603E-13</v>
      </c>
      <c r="BE162" s="14">
        <f>BD162*VLOOKUP('Données projet'!$B$11,Paramètres!$A$1:$I$89,3,0)*VLOOKUP('Données projet'!$B$11,Paramètres!$A$1:$I$89,5,0)</f>
        <v>-9.2222762759774927E-14</v>
      </c>
      <c r="BF162" s="14" t="e">
        <f t="shared" si="167"/>
        <v>#NUM!</v>
      </c>
      <c r="BG162" s="22" t="e">
        <f t="shared" si="168"/>
        <v>#NUM!</v>
      </c>
      <c r="BH162" s="60" t="e">
        <f t="shared" si="116"/>
        <v>#NUM!</v>
      </c>
      <c r="BI162" s="60">
        <f ca="1">AVERAGE(OFFSET($BH$3,0,0,'Données projet'!$E$11+1,1))-AVERAGE(OFFSET($H$3,0,0,'Données projet'!$E$11+1,1))</f>
        <v>256.19915261735281</v>
      </c>
      <c r="BJ162" s="60">
        <f t="shared" si="146"/>
        <v>297.47246687305056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-5.6843418860808015E-14</v>
      </c>
      <c r="BZ162" s="14">
        <f>BY162*VLOOKUP('Données projet'!$B$12,Paramètres!$A$1:$I$89,3,0)*VLOOKUP('Données projet'!$B$12,Paramètres!$A$1:$I$89,5,0)</f>
        <v>-5.4092197387944907E-14</v>
      </c>
      <c r="CA162" s="14" t="e">
        <f t="shared" si="170"/>
        <v>#NUM!</v>
      </c>
      <c r="CB162" s="22" t="e">
        <f t="shared" si="171"/>
        <v>#NUM!</v>
      </c>
      <c r="CC162" s="60" t="e">
        <f t="shared" si="119"/>
        <v>#NUM!</v>
      </c>
      <c r="CD162" s="60">
        <f ca="1">AVERAGE(OFFSET($CC$3,0,0,'Données projet'!$E$12+1,1))-AVERAGE(OFFSET($H$3,0,0,'Données projet'!$E$12+1,1))</f>
        <v>353.53401919391234</v>
      </c>
      <c r="CE162" s="60">
        <f t="shared" si="148"/>
        <v>244.7141066773861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-9.0949470177292824E-13</v>
      </c>
      <c r="CU162" s="18">
        <f>CT162*VLOOKUP('Données projet'!$B$13,Paramètres!$A$1:$I$89,3,0)*VLOOKUP('Données projet'!$B$13,Paramètres!$A$1:$I$89,5,0)</f>
        <v>-7.6615833677351478E-13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403.33327536410098</v>
      </c>
      <c r="CZ162" s="60">
        <f t="shared" si="150"/>
        <v>218.26721063098552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3.4106051316484809E-13</v>
      </c>
      <c r="DP162" s="18">
        <f>DO162*VLOOKUP('Données projet'!$B$14,Paramètres!$A$1:$I$89,3,0)*VLOOKUP('Données projet'!$B$14,Paramètres!$A$1:$I$89,5,0)</f>
        <v>2.7134774427395314E-13</v>
      </c>
      <c r="DQ162" s="14">
        <f t="shared" si="176"/>
        <v>3.6292411711343559E-12</v>
      </c>
      <c r="DR162" s="22">
        <f t="shared" si="177"/>
        <v>6.7935256943361388E-12</v>
      </c>
      <c r="DS162" s="60">
        <f t="shared" si="125"/>
        <v>293.33333333334014</v>
      </c>
      <c r="DT162" s="60">
        <f ca="1">AVERAGE(OFFSET($DS$3,0,0,'Données projet'!$E$14+1,1))-AVERAGE(OFFSET($H$3,0,0,'Données projet'!$E$14+1,1))</f>
        <v>317.13087551964747</v>
      </c>
      <c r="DU162" s="60">
        <f t="shared" si="152"/>
        <v>293.43300041793185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1.7053025658242404E-13</v>
      </c>
      <c r="EK162" s="18">
        <f>EJ162*VLOOKUP('Données projet'!$B$15,Paramètres!$A$1:$I$89,3,0)*VLOOKUP('Données projet'!$B$15,Paramètres!$A$1:$I$89,5,0)</f>
        <v>1.3567387213697657E-13</v>
      </c>
      <c r="EL162" s="14">
        <f t="shared" si="179"/>
        <v>1.9670967679808581E-12</v>
      </c>
      <c r="EM162" s="22">
        <f t="shared" si="180"/>
        <v>3.6623255315385623E-12</v>
      </c>
      <c r="EN162" s="60">
        <f t="shared" si="128"/>
        <v>293.33333333333695</v>
      </c>
      <c r="EO162" s="60">
        <f ca="1">AVERAGE(OFFSET($EN$3,0,0,'Données projet'!$E$15+1,1))-AVERAGE(OFFSET($H$3,0,0,'Données projet'!$E$15+1,1))</f>
        <v>253.03289960511904</v>
      </c>
      <c r="EP162" s="60">
        <f t="shared" si="154"/>
        <v>236.85088713056018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1.7053025658242404E-13</v>
      </c>
      <c r="FF162" s="18">
        <f>FE162*VLOOKUP('Données projet'!$B$16,Paramètres!$A$1:$I$89,3,0)*VLOOKUP('Données projet'!$B$16,Paramètres!$A$1:$I$89,5,0)</f>
        <v>1.4897523215040567E-13</v>
      </c>
      <c r="FG162" s="14">
        <f t="shared" si="182"/>
        <v>2.136562777003313E-12</v>
      </c>
      <c r="FH162" s="22">
        <f t="shared" si="183"/>
        <v>3.9806453659427267E-12</v>
      </c>
      <c r="FI162" s="60">
        <f t="shared" si="131"/>
        <v>293.33333333333729</v>
      </c>
      <c r="FJ162" s="60">
        <f ca="1">AVERAGE(OFFSET($FI$3,0,0,'Données projet'!$E$16+1,1))-AVERAGE(OFFSET($H$3,0,0,'Données projet'!$E$16+1,1))</f>
        <v>274.38315511766132</v>
      </c>
      <c r="FK162" s="60">
        <f t="shared" si="156"/>
        <v>255.96663040027175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-1.1368683772161603E-13</v>
      </c>
      <c r="GA162" s="18">
        <f>FZ162*VLOOKUP('Données projet'!$B$17,Paramètres!$A$1:$I$89,3,0)*VLOOKUP('Données projet'!$B$17,Paramètres!$A$1:$I$89,5,0)</f>
        <v>-9.7543306765146564E-14</v>
      </c>
      <c r="GB162" s="14" t="e">
        <f t="shared" si="185"/>
        <v>#NUM!</v>
      </c>
      <c r="GC162" s="22" t="e">
        <f t="shared" si="186"/>
        <v>#NUM!</v>
      </c>
      <c r="GD162" s="60" t="e">
        <f t="shared" si="134"/>
        <v>#NUM!</v>
      </c>
      <c r="GE162" s="60">
        <f ca="1">AVERAGE(OFFSET($GD$3,0,0,'Données projet'!$E$17+1,1))-AVERAGE(OFFSET($H$3,0,0,'Données projet'!$E$17+1,1))</f>
        <v>445.81166342116865</v>
      </c>
      <c r="GF162" s="60">
        <f t="shared" si="158"/>
        <v>230.82970731138215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5.6843418860808015E-14</v>
      </c>
      <c r="GV162" s="18">
        <f>GU162*VLOOKUP('Données projet'!$B$18,Paramètres!$A$1:$I$89,3,0)*VLOOKUP('Données projet'!$B$18,Paramètres!$A$1:$I$89,5,0)</f>
        <v>4.4337866711430253E-14</v>
      </c>
      <c r="GW162" s="14">
        <f t="shared" si="188"/>
        <v>7.3222115536967035E-13</v>
      </c>
      <c r="GX162" s="22">
        <f t="shared" si="189"/>
        <v>1.3525069634579169E-12</v>
      </c>
      <c r="GY162" s="60">
        <f t="shared" si="137"/>
        <v>293.33333333333468</v>
      </c>
      <c r="GZ162" s="60">
        <f ca="1">AVERAGE(OFFSET($GY$3,0,0,'Données projet'!$E$18+1,1))-AVERAGE(OFFSET($H$3,0,0,'Données projet'!$E$18+1,1))</f>
        <v>289.19475369871481</v>
      </c>
      <c r="HA162" s="60">
        <f t="shared" si="160"/>
        <v>283.48738729114024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projet'!$B$18,Paramètres!$A$1:$I$89,3,0)*0.475*44/12</f>
        <v>0</v>
      </c>
      <c r="HH162" s="23">
        <f>EXP(-LN(2)/25)*HH161+(1-EXP(-LN(2)/25))/(LN(2)/25)*Calculateur!HC162*Calculateur!HE162*VLOOKUP('Données projet'!$B$18,Paramètres!$A$1:$I$89,3,0)*0.475*44/12</f>
        <v>0</v>
      </c>
      <c r="HI162" s="23">
        <f>EXP(-LN(2)/2)*HI161+(1-EXP(-LN(2)/2))/(LN(2)/2)*HC162*HF162*VLOOKUP('Données projet'!$B$18,Paramètres!$A$1:$I$89,3,0)*0.475*44/12</f>
        <v>0</v>
      </c>
      <c r="HJ162" s="24">
        <f t="shared" si="190"/>
        <v>0</v>
      </c>
    </row>
    <row r="163" spans="1:218" x14ac:dyDescent="0.3">
      <c r="A163" s="11">
        <f t="shared" si="161"/>
        <v>160</v>
      </c>
      <c r="B163" s="75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8">
        <f t="shared" si="110"/>
        <v>256.66666666666669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-9.0949470177292824E-13</v>
      </c>
      <c r="O163" s="14">
        <f>N163*VLOOKUP('Données projet'!$B$9,Paramètres!$A$1:$I$89,3,0)*VLOOKUP('Données projet'!$B$9,Paramètres!$A$1:$I$89,5,0)</f>
        <v>-8.7966327555477625E-13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456.86147223520601</v>
      </c>
      <c r="T163" s="60">
        <f t="shared" si="142"/>
        <v>244.45149244446094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2.5579538487363607E-13</v>
      </c>
      <c r="AJ163" s="14">
        <f>AI163*VLOOKUP('Données projet'!$B$10,Paramètres!$A$1:$I$89,3,0)*VLOOKUP('Données projet'!$B$10,Paramètres!$A$1:$I$89,5,0)</f>
        <v>1.6759713616920635E-13</v>
      </c>
      <c r="AK163" s="14">
        <f t="shared" si="164"/>
        <v>2.3709043131075133E-12</v>
      </c>
      <c r="AL163" s="22">
        <f t="shared" si="165"/>
        <v>4.4212233574902864E-12</v>
      </c>
      <c r="AM163" s="60">
        <f t="shared" si="113"/>
        <v>293.33333333333775</v>
      </c>
      <c r="AN163" s="60">
        <f ca="1">AVERAGE(OFFSET($AM$3,0,0,'Données projet'!$E$10+1,1))-AVERAGE(OFFSET($H$3,0,0,'Données projet'!$E$10+1,1))</f>
        <v>170.79567854714986</v>
      </c>
      <c r="AO163" s="60">
        <f t="shared" si="144"/>
        <v>155.92788004111191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-1.1368683772161603E-13</v>
      </c>
      <c r="BE163" s="14">
        <f>BD163*VLOOKUP('Données projet'!$B$11,Paramètres!$A$1:$I$89,3,0)*VLOOKUP('Données projet'!$B$11,Paramètres!$A$1:$I$89,5,0)</f>
        <v>-9.2222762759774927E-14</v>
      </c>
      <c r="BF163" s="14" t="e">
        <f t="shared" si="167"/>
        <v>#NUM!</v>
      </c>
      <c r="BG163" s="22" t="e">
        <f t="shared" si="168"/>
        <v>#NUM!</v>
      </c>
      <c r="BH163" s="60" t="e">
        <f t="shared" si="116"/>
        <v>#NUM!</v>
      </c>
      <c r="BI163" s="60">
        <f ca="1">AVERAGE(OFFSET($BH$3,0,0,'Données projet'!$E$11+1,1))-AVERAGE(OFFSET($H$3,0,0,'Données projet'!$E$11+1,1))</f>
        <v>256.19915261735281</v>
      </c>
      <c r="BJ163" s="60">
        <f t="shared" si="146"/>
        <v>297.47246687305056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-5.6843418860808015E-14</v>
      </c>
      <c r="BZ163" s="14">
        <f>BY163*VLOOKUP('Données projet'!$B$12,Paramètres!$A$1:$I$89,3,0)*VLOOKUP('Données projet'!$B$12,Paramètres!$A$1:$I$89,5,0)</f>
        <v>-5.4092197387944907E-14</v>
      </c>
      <c r="CA163" s="14" t="e">
        <f t="shared" si="170"/>
        <v>#NUM!</v>
      </c>
      <c r="CB163" s="22" t="e">
        <f t="shared" si="171"/>
        <v>#NUM!</v>
      </c>
      <c r="CC163" s="60" t="e">
        <f t="shared" si="119"/>
        <v>#NUM!</v>
      </c>
      <c r="CD163" s="60">
        <f ca="1">AVERAGE(OFFSET($CC$3,0,0,'Données projet'!$E$12+1,1))-AVERAGE(OFFSET($H$3,0,0,'Données projet'!$E$12+1,1))</f>
        <v>353.53401919391234</v>
      </c>
      <c r="CE163" s="60">
        <f t="shared" si="148"/>
        <v>244.7141066773861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-9.0949470177292824E-13</v>
      </c>
      <c r="CU163" s="18">
        <f>CT163*VLOOKUP('Données projet'!$B$13,Paramètres!$A$1:$I$89,3,0)*VLOOKUP('Données projet'!$B$13,Paramètres!$A$1:$I$89,5,0)</f>
        <v>-7.6615833677351478E-13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403.33327536410098</v>
      </c>
      <c r="CZ163" s="60">
        <f t="shared" si="150"/>
        <v>218.26721063098552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3.4106051316484809E-13</v>
      </c>
      <c r="DP163" s="18">
        <f>DO163*VLOOKUP('Données projet'!$B$14,Paramètres!$A$1:$I$89,3,0)*VLOOKUP('Données projet'!$B$14,Paramètres!$A$1:$I$89,5,0)</f>
        <v>2.7134774427395314E-13</v>
      </c>
      <c r="DQ163" s="14">
        <f t="shared" si="176"/>
        <v>3.6292411711343559E-12</v>
      </c>
      <c r="DR163" s="22">
        <f t="shared" si="177"/>
        <v>6.7935256943361388E-12</v>
      </c>
      <c r="DS163" s="60">
        <f t="shared" si="125"/>
        <v>293.33333333334014</v>
      </c>
      <c r="DT163" s="60">
        <f ca="1">AVERAGE(OFFSET($DS$3,0,0,'Données projet'!$E$14+1,1))-AVERAGE(OFFSET($H$3,0,0,'Données projet'!$E$14+1,1))</f>
        <v>317.13087551964747</v>
      </c>
      <c r="DU163" s="60">
        <f t="shared" si="152"/>
        <v>293.43300041793185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1.7053025658242404E-13</v>
      </c>
      <c r="EK163" s="18">
        <f>EJ163*VLOOKUP('Données projet'!$B$15,Paramètres!$A$1:$I$89,3,0)*VLOOKUP('Données projet'!$B$15,Paramètres!$A$1:$I$89,5,0)</f>
        <v>1.3567387213697657E-13</v>
      </c>
      <c r="EL163" s="14">
        <f t="shared" si="179"/>
        <v>1.9670967679808581E-12</v>
      </c>
      <c r="EM163" s="22">
        <f t="shared" si="180"/>
        <v>3.6623255315385623E-12</v>
      </c>
      <c r="EN163" s="60">
        <f t="shared" si="128"/>
        <v>293.33333333333695</v>
      </c>
      <c r="EO163" s="60">
        <f ca="1">AVERAGE(OFFSET($EN$3,0,0,'Données projet'!$E$15+1,1))-AVERAGE(OFFSET($H$3,0,0,'Données projet'!$E$15+1,1))</f>
        <v>253.03289960511904</v>
      </c>
      <c r="EP163" s="60">
        <f t="shared" si="154"/>
        <v>236.85088713056018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1.7053025658242404E-13</v>
      </c>
      <c r="FF163" s="18">
        <f>FE163*VLOOKUP('Données projet'!$B$16,Paramètres!$A$1:$I$89,3,0)*VLOOKUP('Données projet'!$B$16,Paramètres!$A$1:$I$89,5,0)</f>
        <v>1.4897523215040567E-13</v>
      </c>
      <c r="FG163" s="14">
        <f t="shared" si="182"/>
        <v>2.136562777003313E-12</v>
      </c>
      <c r="FH163" s="22">
        <f t="shared" si="183"/>
        <v>3.9806453659427267E-12</v>
      </c>
      <c r="FI163" s="60">
        <f t="shared" si="131"/>
        <v>293.33333333333729</v>
      </c>
      <c r="FJ163" s="60">
        <f ca="1">AVERAGE(OFFSET($FI$3,0,0,'Données projet'!$E$16+1,1))-AVERAGE(OFFSET($H$3,0,0,'Données projet'!$E$16+1,1))</f>
        <v>274.38315511766132</v>
      </c>
      <c r="FK163" s="60">
        <f t="shared" si="156"/>
        <v>255.96663040027175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-1.1368683772161603E-13</v>
      </c>
      <c r="GA163" s="18">
        <f>FZ163*VLOOKUP('Données projet'!$B$17,Paramètres!$A$1:$I$89,3,0)*VLOOKUP('Données projet'!$B$17,Paramètres!$A$1:$I$89,5,0)</f>
        <v>-9.7543306765146564E-14</v>
      </c>
      <c r="GB163" s="14" t="e">
        <f t="shared" si="185"/>
        <v>#NUM!</v>
      </c>
      <c r="GC163" s="22" t="e">
        <f t="shared" si="186"/>
        <v>#NUM!</v>
      </c>
      <c r="GD163" s="60" t="e">
        <f t="shared" si="134"/>
        <v>#NUM!</v>
      </c>
      <c r="GE163" s="60">
        <f ca="1">AVERAGE(OFFSET($GD$3,0,0,'Données projet'!$E$17+1,1))-AVERAGE(OFFSET($H$3,0,0,'Données projet'!$E$17+1,1))</f>
        <v>445.81166342116865</v>
      </c>
      <c r="GF163" s="60">
        <f t="shared" si="158"/>
        <v>230.82970731138215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5.6843418860808015E-14</v>
      </c>
      <c r="GV163" s="18">
        <f>GU163*VLOOKUP('Données projet'!$B$18,Paramètres!$A$1:$I$89,3,0)*VLOOKUP('Données projet'!$B$18,Paramètres!$A$1:$I$89,5,0)</f>
        <v>4.4337866711430253E-14</v>
      </c>
      <c r="GW163" s="14">
        <f t="shared" si="188"/>
        <v>7.3222115536967035E-13</v>
      </c>
      <c r="GX163" s="22">
        <f t="shared" si="189"/>
        <v>1.3525069634579169E-12</v>
      </c>
      <c r="GY163" s="60">
        <f t="shared" si="137"/>
        <v>293.33333333333468</v>
      </c>
      <c r="GZ163" s="60">
        <f ca="1">AVERAGE(OFFSET($GY$3,0,0,'Données projet'!$E$18+1,1))-AVERAGE(OFFSET($H$3,0,0,'Données projet'!$E$18+1,1))</f>
        <v>289.19475369871481</v>
      </c>
      <c r="HA163" s="60">
        <f t="shared" si="160"/>
        <v>283.48738729114024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projet'!$B$18,Paramètres!$A$1:$I$89,3,0)*0.475*44/12</f>
        <v>0</v>
      </c>
      <c r="HH163" s="23">
        <f>EXP(-LN(2)/25)*HH162+(1-EXP(-LN(2)/25))/(LN(2)/25)*Calculateur!HC163*Calculateur!HE163*VLOOKUP('Données projet'!$B$18,Paramètres!$A$1:$I$89,3,0)*0.475*44/12</f>
        <v>0</v>
      </c>
      <c r="HI163" s="23">
        <f>EXP(-LN(2)/2)*HI162+(1-EXP(-LN(2)/2))/(LN(2)/2)*HC163*HF163*VLOOKUP('Données projet'!$B$18,Paramètres!$A$1:$I$89,3,0)*0.475*44/12</f>
        <v>0</v>
      </c>
      <c r="HJ163" s="24">
        <f t="shared" si="190"/>
        <v>0</v>
      </c>
    </row>
    <row r="164" spans="1:218" x14ac:dyDescent="0.3">
      <c r="A164" s="11">
        <f t="shared" si="161"/>
        <v>161</v>
      </c>
      <c r="B164" s="75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8">
        <f t="shared" si="110"/>
        <v>256.66666666666669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-9.0949470177292824E-13</v>
      </c>
      <c r="O164" s="14">
        <f>N164*VLOOKUP('Données projet'!$B$9,Paramètres!$A$1:$I$89,3,0)*VLOOKUP('Données projet'!$B$9,Paramètres!$A$1:$I$89,5,0)</f>
        <v>-8.7966327555477625E-13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456.86147223520601</v>
      </c>
      <c r="T164" s="60">
        <f t="shared" si="142"/>
        <v>244.45149244446094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2.5579538487363607E-13</v>
      </c>
      <c r="AJ164" s="14">
        <f>AI164*VLOOKUP('Données projet'!$B$10,Paramètres!$A$1:$I$89,3,0)*VLOOKUP('Données projet'!$B$10,Paramètres!$A$1:$I$89,5,0)</f>
        <v>1.6759713616920635E-13</v>
      </c>
      <c r="AK164" s="14">
        <f t="shared" si="164"/>
        <v>2.3709043131075133E-12</v>
      </c>
      <c r="AL164" s="22">
        <f t="shared" si="165"/>
        <v>4.4212233574902864E-12</v>
      </c>
      <c r="AM164" s="60">
        <f t="shared" si="113"/>
        <v>293.33333333333775</v>
      </c>
      <c r="AN164" s="60">
        <f ca="1">AVERAGE(OFFSET($AM$3,0,0,'Données projet'!$E$10+1,1))-AVERAGE(OFFSET($H$3,0,0,'Données projet'!$E$10+1,1))</f>
        <v>170.79567854714986</v>
      </c>
      <c r="AO164" s="60">
        <f t="shared" si="144"/>
        <v>155.92788004111191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-1.1368683772161603E-13</v>
      </c>
      <c r="BE164" s="14">
        <f>BD164*VLOOKUP('Données projet'!$B$11,Paramètres!$A$1:$I$89,3,0)*VLOOKUP('Données projet'!$B$11,Paramètres!$A$1:$I$89,5,0)</f>
        <v>-9.2222762759774927E-14</v>
      </c>
      <c r="BF164" s="14" t="e">
        <f t="shared" si="167"/>
        <v>#NUM!</v>
      </c>
      <c r="BG164" s="22" t="e">
        <f t="shared" si="168"/>
        <v>#NUM!</v>
      </c>
      <c r="BH164" s="60" t="e">
        <f t="shared" si="116"/>
        <v>#NUM!</v>
      </c>
      <c r="BI164" s="60">
        <f ca="1">AVERAGE(OFFSET($BH$3,0,0,'Données projet'!$E$11+1,1))-AVERAGE(OFFSET($H$3,0,0,'Données projet'!$E$11+1,1))</f>
        <v>256.19915261735281</v>
      </c>
      <c r="BJ164" s="60">
        <f t="shared" si="146"/>
        <v>297.47246687305056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-5.6843418860808015E-14</v>
      </c>
      <c r="BZ164" s="14">
        <f>BY164*VLOOKUP('Données projet'!$B$12,Paramètres!$A$1:$I$89,3,0)*VLOOKUP('Données projet'!$B$12,Paramètres!$A$1:$I$89,5,0)</f>
        <v>-5.4092197387944907E-14</v>
      </c>
      <c r="CA164" s="14" t="e">
        <f t="shared" si="170"/>
        <v>#NUM!</v>
      </c>
      <c r="CB164" s="22" t="e">
        <f t="shared" si="171"/>
        <v>#NUM!</v>
      </c>
      <c r="CC164" s="60" t="e">
        <f t="shared" si="119"/>
        <v>#NUM!</v>
      </c>
      <c r="CD164" s="60">
        <f ca="1">AVERAGE(OFFSET($CC$3,0,0,'Données projet'!$E$12+1,1))-AVERAGE(OFFSET($H$3,0,0,'Données projet'!$E$12+1,1))</f>
        <v>353.53401919391234</v>
      </c>
      <c r="CE164" s="60">
        <f t="shared" si="148"/>
        <v>244.7141066773861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-9.0949470177292824E-13</v>
      </c>
      <c r="CU164" s="18">
        <f>CT164*VLOOKUP('Données projet'!$B$13,Paramètres!$A$1:$I$89,3,0)*VLOOKUP('Données projet'!$B$13,Paramètres!$A$1:$I$89,5,0)</f>
        <v>-7.6615833677351478E-13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403.33327536410098</v>
      </c>
      <c r="CZ164" s="60">
        <f t="shared" si="150"/>
        <v>218.26721063098552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3.4106051316484809E-13</v>
      </c>
      <c r="DP164" s="18">
        <f>DO164*VLOOKUP('Données projet'!$B$14,Paramètres!$A$1:$I$89,3,0)*VLOOKUP('Données projet'!$B$14,Paramètres!$A$1:$I$89,5,0)</f>
        <v>2.7134774427395314E-13</v>
      </c>
      <c r="DQ164" s="14">
        <f t="shared" si="176"/>
        <v>3.6292411711343559E-12</v>
      </c>
      <c r="DR164" s="22">
        <f t="shared" si="177"/>
        <v>6.7935256943361388E-12</v>
      </c>
      <c r="DS164" s="60">
        <f t="shared" si="125"/>
        <v>293.33333333334014</v>
      </c>
      <c r="DT164" s="60">
        <f ca="1">AVERAGE(OFFSET($DS$3,0,0,'Données projet'!$E$14+1,1))-AVERAGE(OFFSET($H$3,0,0,'Données projet'!$E$14+1,1))</f>
        <v>317.13087551964747</v>
      </c>
      <c r="DU164" s="60">
        <f t="shared" si="152"/>
        <v>293.43300041793185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1.7053025658242404E-13</v>
      </c>
      <c r="EK164" s="18">
        <f>EJ164*VLOOKUP('Données projet'!$B$15,Paramètres!$A$1:$I$89,3,0)*VLOOKUP('Données projet'!$B$15,Paramètres!$A$1:$I$89,5,0)</f>
        <v>1.3567387213697657E-13</v>
      </c>
      <c r="EL164" s="14">
        <f t="shared" si="179"/>
        <v>1.9670967679808581E-12</v>
      </c>
      <c r="EM164" s="22">
        <f t="shared" si="180"/>
        <v>3.6623255315385623E-12</v>
      </c>
      <c r="EN164" s="60">
        <f t="shared" si="128"/>
        <v>293.33333333333695</v>
      </c>
      <c r="EO164" s="60">
        <f ca="1">AVERAGE(OFFSET($EN$3,0,0,'Données projet'!$E$15+1,1))-AVERAGE(OFFSET($H$3,0,0,'Données projet'!$E$15+1,1))</f>
        <v>253.03289960511904</v>
      </c>
      <c r="EP164" s="60">
        <f t="shared" si="154"/>
        <v>236.85088713056018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1.7053025658242404E-13</v>
      </c>
      <c r="FF164" s="18">
        <f>FE164*VLOOKUP('Données projet'!$B$16,Paramètres!$A$1:$I$89,3,0)*VLOOKUP('Données projet'!$B$16,Paramètres!$A$1:$I$89,5,0)</f>
        <v>1.4897523215040567E-13</v>
      </c>
      <c r="FG164" s="14">
        <f t="shared" si="182"/>
        <v>2.136562777003313E-12</v>
      </c>
      <c r="FH164" s="22">
        <f t="shared" si="183"/>
        <v>3.9806453659427267E-12</v>
      </c>
      <c r="FI164" s="60">
        <f t="shared" si="131"/>
        <v>293.33333333333729</v>
      </c>
      <c r="FJ164" s="60">
        <f ca="1">AVERAGE(OFFSET($FI$3,0,0,'Données projet'!$E$16+1,1))-AVERAGE(OFFSET($H$3,0,0,'Données projet'!$E$16+1,1))</f>
        <v>274.38315511766132</v>
      </c>
      <c r="FK164" s="60">
        <f t="shared" si="156"/>
        <v>255.96663040027175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-1.1368683772161603E-13</v>
      </c>
      <c r="GA164" s="18">
        <f>FZ164*VLOOKUP('Données projet'!$B$17,Paramètres!$A$1:$I$89,3,0)*VLOOKUP('Données projet'!$B$17,Paramètres!$A$1:$I$89,5,0)</f>
        <v>-9.7543306765146564E-14</v>
      </c>
      <c r="GB164" s="14" t="e">
        <f t="shared" si="185"/>
        <v>#NUM!</v>
      </c>
      <c r="GC164" s="22" t="e">
        <f t="shared" si="186"/>
        <v>#NUM!</v>
      </c>
      <c r="GD164" s="60" t="e">
        <f t="shared" si="134"/>
        <v>#NUM!</v>
      </c>
      <c r="GE164" s="60">
        <f ca="1">AVERAGE(OFFSET($GD$3,0,0,'Données projet'!$E$17+1,1))-AVERAGE(OFFSET($H$3,0,0,'Données projet'!$E$17+1,1))</f>
        <v>445.81166342116865</v>
      </c>
      <c r="GF164" s="60">
        <f t="shared" si="158"/>
        <v>230.82970731138215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5.6843418860808015E-14</v>
      </c>
      <c r="GV164" s="18">
        <f>GU164*VLOOKUP('Données projet'!$B$18,Paramètres!$A$1:$I$89,3,0)*VLOOKUP('Données projet'!$B$18,Paramètres!$A$1:$I$89,5,0)</f>
        <v>4.4337866711430253E-14</v>
      </c>
      <c r="GW164" s="14">
        <f t="shared" si="188"/>
        <v>7.3222115536967035E-13</v>
      </c>
      <c r="GX164" s="22">
        <f t="shared" si="189"/>
        <v>1.3525069634579169E-12</v>
      </c>
      <c r="GY164" s="60">
        <f t="shared" si="137"/>
        <v>293.33333333333468</v>
      </c>
      <c r="GZ164" s="60">
        <f ca="1">AVERAGE(OFFSET($GY$3,0,0,'Données projet'!$E$18+1,1))-AVERAGE(OFFSET($H$3,0,0,'Données projet'!$E$18+1,1))</f>
        <v>289.19475369871481</v>
      </c>
      <c r="HA164" s="60">
        <f t="shared" si="160"/>
        <v>283.48738729114024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projet'!$B$18,Paramètres!$A$1:$I$89,3,0)*0.475*44/12</f>
        <v>0</v>
      </c>
      <c r="HH164" s="23">
        <f>EXP(-LN(2)/25)*HH163+(1-EXP(-LN(2)/25))/(LN(2)/25)*Calculateur!HC164*Calculateur!HE164*VLOOKUP('Données projet'!$B$18,Paramètres!$A$1:$I$89,3,0)*0.475*44/12</f>
        <v>0</v>
      </c>
      <c r="HI164" s="23">
        <f>EXP(-LN(2)/2)*HI163+(1-EXP(-LN(2)/2))/(LN(2)/2)*HC164*HF164*VLOOKUP('Données projet'!$B$18,Paramètres!$A$1:$I$89,3,0)*0.475*44/12</f>
        <v>0</v>
      </c>
      <c r="HJ164" s="24">
        <f t="shared" si="190"/>
        <v>0</v>
      </c>
    </row>
    <row r="165" spans="1:218" x14ac:dyDescent="0.3">
      <c r="A165" s="11">
        <f t="shared" si="161"/>
        <v>162</v>
      </c>
      <c r="B165" s="75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8">
        <f t="shared" si="110"/>
        <v>256.66666666666669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-9.0949470177292824E-13</v>
      </c>
      <c r="O165" s="14">
        <f>N165*VLOOKUP('Données projet'!$B$9,Paramètres!$A$1:$I$89,3,0)*VLOOKUP('Données projet'!$B$9,Paramètres!$A$1:$I$89,5,0)</f>
        <v>-8.7966327555477625E-13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456.86147223520601</v>
      </c>
      <c r="T165" s="60">
        <f t="shared" si="142"/>
        <v>244.45149244446094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2.5579538487363607E-13</v>
      </c>
      <c r="AJ165" s="14">
        <f>AI165*VLOOKUP('Données projet'!$B$10,Paramètres!$A$1:$I$89,3,0)*VLOOKUP('Données projet'!$B$10,Paramètres!$A$1:$I$89,5,0)</f>
        <v>1.6759713616920635E-13</v>
      </c>
      <c r="AK165" s="14">
        <f t="shared" si="164"/>
        <v>2.3709043131075133E-12</v>
      </c>
      <c r="AL165" s="22">
        <f t="shared" si="165"/>
        <v>4.4212233574902864E-12</v>
      </c>
      <c r="AM165" s="60">
        <f t="shared" si="113"/>
        <v>293.33333333333775</v>
      </c>
      <c r="AN165" s="60">
        <f ca="1">AVERAGE(OFFSET($AM$3,0,0,'Données projet'!$E$10+1,1))-AVERAGE(OFFSET($H$3,0,0,'Données projet'!$E$10+1,1))</f>
        <v>170.79567854714986</v>
      </c>
      <c r="AO165" s="60">
        <f t="shared" si="144"/>
        <v>155.92788004111191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-1.1368683772161603E-13</v>
      </c>
      <c r="BE165" s="14">
        <f>BD165*VLOOKUP('Données projet'!$B$11,Paramètres!$A$1:$I$89,3,0)*VLOOKUP('Données projet'!$B$11,Paramètres!$A$1:$I$89,5,0)</f>
        <v>-9.2222762759774927E-14</v>
      </c>
      <c r="BF165" s="14" t="e">
        <f t="shared" si="167"/>
        <v>#NUM!</v>
      </c>
      <c r="BG165" s="22" t="e">
        <f t="shared" si="168"/>
        <v>#NUM!</v>
      </c>
      <c r="BH165" s="60" t="e">
        <f t="shared" si="116"/>
        <v>#NUM!</v>
      </c>
      <c r="BI165" s="60">
        <f ca="1">AVERAGE(OFFSET($BH$3,0,0,'Données projet'!$E$11+1,1))-AVERAGE(OFFSET($H$3,0,0,'Données projet'!$E$11+1,1))</f>
        <v>256.19915261735281</v>
      </c>
      <c r="BJ165" s="60">
        <f t="shared" si="146"/>
        <v>297.47246687305056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-5.6843418860808015E-14</v>
      </c>
      <c r="BZ165" s="14">
        <f>BY165*VLOOKUP('Données projet'!$B$12,Paramètres!$A$1:$I$89,3,0)*VLOOKUP('Données projet'!$B$12,Paramètres!$A$1:$I$89,5,0)</f>
        <v>-5.4092197387944907E-14</v>
      </c>
      <c r="CA165" s="14" t="e">
        <f t="shared" si="170"/>
        <v>#NUM!</v>
      </c>
      <c r="CB165" s="22" t="e">
        <f t="shared" si="171"/>
        <v>#NUM!</v>
      </c>
      <c r="CC165" s="60" t="e">
        <f t="shared" si="119"/>
        <v>#NUM!</v>
      </c>
      <c r="CD165" s="60">
        <f ca="1">AVERAGE(OFFSET($CC$3,0,0,'Données projet'!$E$12+1,1))-AVERAGE(OFFSET($H$3,0,0,'Données projet'!$E$12+1,1))</f>
        <v>353.53401919391234</v>
      </c>
      <c r="CE165" s="60">
        <f t="shared" si="148"/>
        <v>244.7141066773861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-9.0949470177292824E-13</v>
      </c>
      <c r="CU165" s="18">
        <f>CT165*VLOOKUP('Données projet'!$B$13,Paramètres!$A$1:$I$89,3,0)*VLOOKUP('Données projet'!$B$13,Paramètres!$A$1:$I$89,5,0)</f>
        <v>-7.6615833677351478E-13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403.33327536410098</v>
      </c>
      <c r="CZ165" s="60">
        <f t="shared" si="150"/>
        <v>218.26721063098552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3.4106051316484809E-13</v>
      </c>
      <c r="DP165" s="18">
        <f>DO165*VLOOKUP('Données projet'!$B$14,Paramètres!$A$1:$I$89,3,0)*VLOOKUP('Données projet'!$B$14,Paramètres!$A$1:$I$89,5,0)</f>
        <v>2.7134774427395314E-13</v>
      </c>
      <c r="DQ165" s="14">
        <f t="shared" si="176"/>
        <v>3.6292411711343559E-12</v>
      </c>
      <c r="DR165" s="22">
        <f t="shared" si="177"/>
        <v>6.7935256943361388E-12</v>
      </c>
      <c r="DS165" s="60">
        <f t="shared" si="125"/>
        <v>293.33333333334014</v>
      </c>
      <c r="DT165" s="60">
        <f ca="1">AVERAGE(OFFSET($DS$3,0,0,'Données projet'!$E$14+1,1))-AVERAGE(OFFSET($H$3,0,0,'Données projet'!$E$14+1,1))</f>
        <v>317.13087551964747</v>
      </c>
      <c r="DU165" s="60">
        <f t="shared" si="152"/>
        <v>293.43300041793185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1.7053025658242404E-13</v>
      </c>
      <c r="EK165" s="18">
        <f>EJ165*VLOOKUP('Données projet'!$B$15,Paramètres!$A$1:$I$89,3,0)*VLOOKUP('Données projet'!$B$15,Paramètres!$A$1:$I$89,5,0)</f>
        <v>1.3567387213697657E-13</v>
      </c>
      <c r="EL165" s="14">
        <f t="shared" si="179"/>
        <v>1.9670967679808581E-12</v>
      </c>
      <c r="EM165" s="22">
        <f t="shared" si="180"/>
        <v>3.6623255315385623E-12</v>
      </c>
      <c r="EN165" s="60">
        <f t="shared" si="128"/>
        <v>293.33333333333695</v>
      </c>
      <c r="EO165" s="60">
        <f ca="1">AVERAGE(OFFSET($EN$3,0,0,'Données projet'!$E$15+1,1))-AVERAGE(OFFSET($H$3,0,0,'Données projet'!$E$15+1,1))</f>
        <v>253.03289960511904</v>
      </c>
      <c r="EP165" s="60">
        <f t="shared" si="154"/>
        <v>236.85088713056018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1.7053025658242404E-13</v>
      </c>
      <c r="FF165" s="18">
        <f>FE165*VLOOKUP('Données projet'!$B$16,Paramètres!$A$1:$I$89,3,0)*VLOOKUP('Données projet'!$B$16,Paramètres!$A$1:$I$89,5,0)</f>
        <v>1.4897523215040567E-13</v>
      </c>
      <c r="FG165" s="14">
        <f t="shared" si="182"/>
        <v>2.136562777003313E-12</v>
      </c>
      <c r="FH165" s="22">
        <f t="shared" si="183"/>
        <v>3.9806453659427267E-12</v>
      </c>
      <c r="FI165" s="60">
        <f t="shared" si="131"/>
        <v>293.33333333333729</v>
      </c>
      <c r="FJ165" s="60">
        <f ca="1">AVERAGE(OFFSET($FI$3,0,0,'Données projet'!$E$16+1,1))-AVERAGE(OFFSET($H$3,0,0,'Données projet'!$E$16+1,1))</f>
        <v>274.38315511766132</v>
      </c>
      <c r="FK165" s="60">
        <f t="shared" si="156"/>
        <v>255.96663040027175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-1.1368683772161603E-13</v>
      </c>
      <c r="GA165" s="18">
        <f>FZ165*VLOOKUP('Données projet'!$B$17,Paramètres!$A$1:$I$89,3,0)*VLOOKUP('Données projet'!$B$17,Paramètres!$A$1:$I$89,5,0)</f>
        <v>-9.7543306765146564E-14</v>
      </c>
      <c r="GB165" s="14" t="e">
        <f t="shared" si="185"/>
        <v>#NUM!</v>
      </c>
      <c r="GC165" s="22" t="e">
        <f t="shared" si="186"/>
        <v>#NUM!</v>
      </c>
      <c r="GD165" s="60" t="e">
        <f t="shared" si="134"/>
        <v>#NUM!</v>
      </c>
      <c r="GE165" s="60">
        <f ca="1">AVERAGE(OFFSET($GD$3,0,0,'Données projet'!$E$17+1,1))-AVERAGE(OFFSET($H$3,0,0,'Données projet'!$E$17+1,1))</f>
        <v>445.81166342116865</v>
      </c>
      <c r="GF165" s="60">
        <f t="shared" si="158"/>
        <v>230.82970731138215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5.6843418860808015E-14</v>
      </c>
      <c r="GV165" s="18">
        <f>GU165*VLOOKUP('Données projet'!$B$18,Paramètres!$A$1:$I$89,3,0)*VLOOKUP('Données projet'!$B$18,Paramètres!$A$1:$I$89,5,0)</f>
        <v>4.4337866711430253E-14</v>
      </c>
      <c r="GW165" s="14">
        <f t="shared" si="188"/>
        <v>7.3222115536967035E-13</v>
      </c>
      <c r="GX165" s="22">
        <f t="shared" si="189"/>
        <v>1.3525069634579169E-12</v>
      </c>
      <c r="GY165" s="60">
        <f t="shared" si="137"/>
        <v>293.33333333333468</v>
      </c>
      <c r="GZ165" s="60">
        <f ca="1">AVERAGE(OFFSET($GY$3,0,0,'Données projet'!$E$18+1,1))-AVERAGE(OFFSET($H$3,0,0,'Données projet'!$E$18+1,1))</f>
        <v>289.19475369871481</v>
      </c>
      <c r="HA165" s="60">
        <f t="shared" si="160"/>
        <v>283.48738729114024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projet'!$B$18,Paramètres!$A$1:$I$89,3,0)*0.475*44/12</f>
        <v>0</v>
      </c>
      <c r="HH165" s="23">
        <f>EXP(-LN(2)/25)*HH164+(1-EXP(-LN(2)/25))/(LN(2)/25)*Calculateur!HC165*Calculateur!HE165*VLOOKUP('Données projet'!$B$18,Paramètres!$A$1:$I$89,3,0)*0.475*44/12</f>
        <v>0</v>
      </c>
      <c r="HI165" s="23">
        <f>EXP(-LN(2)/2)*HI164+(1-EXP(-LN(2)/2))/(LN(2)/2)*HC165*HF165*VLOOKUP('Données projet'!$B$18,Paramètres!$A$1:$I$89,3,0)*0.475*44/12</f>
        <v>0</v>
      </c>
      <c r="HJ165" s="24">
        <f t="shared" si="190"/>
        <v>0</v>
      </c>
    </row>
    <row r="166" spans="1:218" x14ac:dyDescent="0.3">
      <c r="A166" s="11">
        <f t="shared" si="161"/>
        <v>163</v>
      </c>
      <c r="B166" s="75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8">
        <f t="shared" si="110"/>
        <v>256.66666666666669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-9.0949470177292824E-13</v>
      </c>
      <c r="O166" s="14">
        <f>N166*VLOOKUP('Données projet'!$B$9,Paramètres!$A$1:$I$89,3,0)*VLOOKUP('Données projet'!$B$9,Paramètres!$A$1:$I$89,5,0)</f>
        <v>-8.7966327555477625E-13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456.86147223520601</v>
      </c>
      <c r="T166" s="60">
        <f t="shared" si="142"/>
        <v>244.45149244446094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2.5579538487363607E-13</v>
      </c>
      <c r="AJ166" s="14">
        <f>AI166*VLOOKUP('Données projet'!$B$10,Paramètres!$A$1:$I$89,3,0)*VLOOKUP('Données projet'!$B$10,Paramètres!$A$1:$I$89,5,0)</f>
        <v>1.6759713616920635E-13</v>
      </c>
      <c r="AK166" s="14">
        <f t="shared" si="164"/>
        <v>2.3709043131075133E-12</v>
      </c>
      <c r="AL166" s="22">
        <f t="shared" si="165"/>
        <v>4.4212233574902864E-12</v>
      </c>
      <c r="AM166" s="60">
        <f t="shared" si="113"/>
        <v>293.33333333333775</v>
      </c>
      <c r="AN166" s="60">
        <f ca="1">AVERAGE(OFFSET($AM$3,0,0,'Données projet'!$E$10+1,1))-AVERAGE(OFFSET($H$3,0,0,'Données projet'!$E$10+1,1))</f>
        <v>170.79567854714986</v>
      </c>
      <c r="AO166" s="60">
        <f t="shared" si="144"/>
        <v>155.92788004111191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-1.1368683772161603E-13</v>
      </c>
      <c r="BE166" s="14">
        <f>BD166*VLOOKUP('Données projet'!$B$11,Paramètres!$A$1:$I$89,3,0)*VLOOKUP('Données projet'!$B$11,Paramètres!$A$1:$I$89,5,0)</f>
        <v>-9.2222762759774927E-14</v>
      </c>
      <c r="BF166" s="14" t="e">
        <f t="shared" si="167"/>
        <v>#NUM!</v>
      </c>
      <c r="BG166" s="22" t="e">
        <f t="shared" si="168"/>
        <v>#NUM!</v>
      </c>
      <c r="BH166" s="60" t="e">
        <f t="shared" si="116"/>
        <v>#NUM!</v>
      </c>
      <c r="BI166" s="60">
        <f ca="1">AVERAGE(OFFSET($BH$3,0,0,'Données projet'!$E$11+1,1))-AVERAGE(OFFSET($H$3,0,0,'Données projet'!$E$11+1,1))</f>
        <v>256.19915261735281</v>
      </c>
      <c r="BJ166" s="60">
        <f t="shared" si="146"/>
        <v>297.47246687305056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-5.6843418860808015E-14</v>
      </c>
      <c r="BZ166" s="14">
        <f>BY166*VLOOKUP('Données projet'!$B$12,Paramètres!$A$1:$I$89,3,0)*VLOOKUP('Données projet'!$B$12,Paramètres!$A$1:$I$89,5,0)</f>
        <v>-5.4092197387944907E-14</v>
      </c>
      <c r="CA166" s="14" t="e">
        <f t="shared" si="170"/>
        <v>#NUM!</v>
      </c>
      <c r="CB166" s="22" t="e">
        <f t="shared" si="171"/>
        <v>#NUM!</v>
      </c>
      <c r="CC166" s="60" t="e">
        <f t="shared" si="119"/>
        <v>#NUM!</v>
      </c>
      <c r="CD166" s="60">
        <f ca="1">AVERAGE(OFFSET($CC$3,0,0,'Données projet'!$E$12+1,1))-AVERAGE(OFFSET($H$3,0,0,'Données projet'!$E$12+1,1))</f>
        <v>353.53401919391234</v>
      </c>
      <c r="CE166" s="60">
        <f t="shared" si="148"/>
        <v>244.7141066773861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-9.0949470177292824E-13</v>
      </c>
      <c r="CU166" s="18">
        <f>CT166*VLOOKUP('Données projet'!$B$13,Paramètres!$A$1:$I$89,3,0)*VLOOKUP('Données projet'!$B$13,Paramètres!$A$1:$I$89,5,0)</f>
        <v>-7.6615833677351478E-13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403.33327536410098</v>
      </c>
      <c r="CZ166" s="60">
        <f t="shared" si="150"/>
        <v>218.26721063098552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3.4106051316484809E-13</v>
      </c>
      <c r="DP166" s="18">
        <f>DO166*VLOOKUP('Données projet'!$B$14,Paramètres!$A$1:$I$89,3,0)*VLOOKUP('Données projet'!$B$14,Paramètres!$A$1:$I$89,5,0)</f>
        <v>2.7134774427395314E-13</v>
      </c>
      <c r="DQ166" s="14">
        <f t="shared" si="176"/>
        <v>3.6292411711343559E-12</v>
      </c>
      <c r="DR166" s="22">
        <f t="shared" si="177"/>
        <v>6.7935256943361388E-12</v>
      </c>
      <c r="DS166" s="60">
        <f t="shared" si="125"/>
        <v>293.33333333334014</v>
      </c>
      <c r="DT166" s="60">
        <f ca="1">AVERAGE(OFFSET($DS$3,0,0,'Données projet'!$E$14+1,1))-AVERAGE(OFFSET($H$3,0,0,'Données projet'!$E$14+1,1))</f>
        <v>317.13087551964747</v>
      </c>
      <c r="DU166" s="60">
        <f t="shared" si="152"/>
        <v>293.43300041793185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1.7053025658242404E-13</v>
      </c>
      <c r="EK166" s="18">
        <f>EJ166*VLOOKUP('Données projet'!$B$15,Paramètres!$A$1:$I$89,3,0)*VLOOKUP('Données projet'!$B$15,Paramètres!$A$1:$I$89,5,0)</f>
        <v>1.3567387213697657E-13</v>
      </c>
      <c r="EL166" s="14">
        <f t="shared" si="179"/>
        <v>1.9670967679808581E-12</v>
      </c>
      <c r="EM166" s="22">
        <f t="shared" si="180"/>
        <v>3.6623255315385623E-12</v>
      </c>
      <c r="EN166" s="60">
        <f t="shared" si="128"/>
        <v>293.33333333333695</v>
      </c>
      <c r="EO166" s="60">
        <f ca="1">AVERAGE(OFFSET($EN$3,0,0,'Données projet'!$E$15+1,1))-AVERAGE(OFFSET($H$3,0,0,'Données projet'!$E$15+1,1))</f>
        <v>253.03289960511904</v>
      </c>
      <c r="EP166" s="60">
        <f t="shared" si="154"/>
        <v>236.85088713056018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1.7053025658242404E-13</v>
      </c>
      <c r="FF166" s="18">
        <f>FE166*VLOOKUP('Données projet'!$B$16,Paramètres!$A$1:$I$89,3,0)*VLOOKUP('Données projet'!$B$16,Paramètres!$A$1:$I$89,5,0)</f>
        <v>1.4897523215040567E-13</v>
      </c>
      <c r="FG166" s="14">
        <f t="shared" si="182"/>
        <v>2.136562777003313E-12</v>
      </c>
      <c r="FH166" s="22">
        <f t="shared" si="183"/>
        <v>3.9806453659427267E-12</v>
      </c>
      <c r="FI166" s="60">
        <f t="shared" si="131"/>
        <v>293.33333333333729</v>
      </c>
      <c r="FJ166" s="60">
        <f ca="1">AVERAGE(OFFSET($FI$3,0,0,'Données projet'!$E$16+1,1))-AVERAGE(OFFSET($H$3,0,0,'Données projet'!$E$16+1,1))</f>
        <v>274.38315511766132</v>
      </c>
      <c r="FK166" s="60">
        <f t="shared" si="156"/>
        <v>255.96663040027175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-1.1368683772161603E-13</v>
      </c>
      <c r="GA166" s="18">
        <f>FZ166*VLOOKUP('Données projet'!$B$17,Paramètres!$A$1:$I$89,3,0)*VLOOKUP('Données projet'!$B$17,Paramètres!$A$1:$I$89,5,0)</f>
        <v>-9.7543306765146564E-14</v>
      </c>
      <c r="GB166" s="14" t="e">
        <f t="shared" si="185"/>
        <v>#NUM!</v>
      </c>
      <c r="GC166" s="22" t="e">
        <f t="shared" si="186"/>
        <v>#NUM!</v>
      </c>
      <c r="GD166" s="60" t="e">
        <f t="shared" si="134"/>
        <v>#NUM!</v>
      </c>
      <c r="GE166" s="60">
        <f ca="1">AVERAGE(OFFSET($GD$3,0,0,'Données projet'!$E$17+1,1))-AVERAGE(OFFSET($H$3,0,0,'Données projet'!$E$17+1,1))</f>
        <v>445.81166342116865</v>
      </c>
      <c r="GF166" s="60">
        <f t="shared" si="158"/>
        <v>230.82970731138215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5.6843418860808015E-14</v>
      </c>
      <c r="GV166" s="18">
        <f>GU166*VLOOKUP('Données projet'!$B$18,Paramètres!$A$1:$I$89,3,0)*VLOOKUP('Données projet'!$B$18,Paramètres!$A$1:$I$89,5,0)</f>
        <v>4.4337866711430253E-14</v>
      </c>
      <c r="GW166" s="14">
        <f t="shared" si="188"/>
        <v>7.3222115536967035E-13</v>
      </c>
      <c r="GX166" s="22">
        <f t="shared" si="189"/>
        <v>1.3525069634579169E-12</v>
      </c>
      <c r="GY166" s="60">
        <f t="shared" si="137"/>
        <v>293.33333333333468</v>
      </c>
      <c r="GZ166" s="60">
        <f ca="1">AVERAGE(OFFSET($GY$3,0,0,'Données projet'!$E$18+1,1))-AVERAGE(OFFSET($H$3,0,0,'Données projet'!$E$18+1,1))</f>
        <v>289.19475369871481</v>
      </c>
      <c r="HA166" s="60">
        <f t="shared" si="160"/>
        <v>283.48738729114024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projet'!$B$18,Paramètres!$A$1:$I$89,3,0)*0.475*44/12</f>
        <v>0</v>
      </c>
      <c r="HH166" s="23">
        <f>EXP(-LN(2)/25)*HH165+(1-EXP(-LN(2)/25))/(LN(2)/25)*Calculateur!HC166*Calculateur!HE166*VLOOKUP('Données projet'!$B$18,Paramètres!$A$1:$I$89,3,0)*0.475*44/12</f>
        <v>0</v>
      </c>
      <c r="HI166" s="23">
        <f>EXP(-LN(2)/2)*HI165+(1-EXP(-LN(2)/2))/(LN(2)/2)*HC166*HF166*VLOOKUP('Données projet'!$B$18,Paramètres!$A$1:$I$89,3,0)*0.475*44/12</f>
        <v>0</v>
      </c>
      <c r="HJ166" s="24">
        <f t="shared" si="190"/>
        <v>0</v>
      </c>
    </row>
    <row r="167" spans="1:218" x14ac:dyDescent="0.3">
      <c r="A167" s="11">
        <f t="shared" si="161"/>
        <v>164</v>
      </c>
      <c r="B167" s="75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8">
        <f t="shared" si="110"/>
        <v>256.66666666666669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-9.0949470177292824E-13</v>
      </c>
      <c r="O167" s="14">
        <f>N167*VLOOKUP('Données projet'!$B$9,Paramètres!$A$1:$I$89,3,0)*VLOOKUP('Données projet'!$B$9,Paramètres!$A$1:$I$89,5,0)</f>
        <v>-8.7966327555477625E-13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456.86147223520601</v>
      </c>
      <c r="T167" s="60">
        <f t="shared" si="142"/>
        <v>244.45149244446094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2.5579538487363607E-13</v>
      </c>
      <c r="AJ167" s="14">
        <f>AI167*VLOOKUP('Données projet'!$B$10,Paramètres!$A$1:$I$89,3,0)*VLOOKUP('Données projet'!$B$10,Paramètres!$A$1:$I$89,5,0)</f>
        <v>1.6759713616920635E-13</v>
      </c>
      <c r="AK167" s="14">
        <f t="shared" si="164"/>
        <v>2.3709043131075133E-12</v>
      </c>
      <c r="AL167" s="22">
        <f t="shared" si="165"/>
        <v>4.4212233574902864E-12</v>
      </c>
      <c r="AM167" s="60">
        <f t="shared" si="113"/>
        <v>293.33333333333775</v>
      </c>
      <c r="AN167" s="60">
        <f ca="1">AVERAGE(OFFSET($AM$3,0,0,'Données projet'!$E$10+1,1))-AVERAGE(OFFSET($H$3,0,0,'Données projet'!$E$10+1,1))</f>
        <v>170.79567854714986</v>
      </c>
      <c r="AO167" s="60">
        <f t="shared" si="144"/>
        <v>155.92788004111191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-1.1368683772161603E-13</v>
      </c>
      <c r="BE167" s="14">
        <f>BD167*VLOOKUP('Données projet'!$B$11,Paramètres!$A$1:$I$89,3,0)*VLOOKUP('Données projet'!$B$11,Paramètres!$A$1:$I$89,5,0)</f>
        <v>-9.2222762759774927E-14</v>
      </c>
      <c r="BF167" s="14" t="e">
        <f t="shared" si="167"/>
        <v>#NUM!</v>
      </c>
      <c r="BG167" s="22" t="e">
        <f t="shared" si="168"/>
        <v>#NUM!</v>
      </c>
      <c r="BH167" s="60" t="e">
        <f t="shared" si="116"/>
        <v>#NUM!</v>
      </c>
      <c r="BI167" s="60">
        <f ca="1">AVERAGE(OFFSET($BH$3,0,0,'Données projet'!$E$11+1,1))-AVERAGE(OFFSET($H$3,0,0,'Données projet'!$E$11+1,1))</f>
        <v>256.19915261735281</v>
      </c>
      <c r="BJ167" s="60">
        <f t="shared" si="146"/>
        <v>297.47246687305056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-5.6843418860808015E-14</v>
      </c>
      <c r="BZ167" s="14">
        <f>BY167*VLOOKUP('Données projet'!$B$12,Paramètres!$A$1:$I$89,3,0)*VLOOKUP('Données projet'!$B$12,Paramètres!$A$1:$I$89,5,0)</f>
        <v>-5.4092197387944907E-14</v>
      </c>
      <c r="CA167" s="14" t="e">
        <f t="shared" si="170"/>
        <v>#NUM!</v>
      </c>
      <c r="CB167" s="22" t="e">
        <f t="shared" si="171"/>
        <v>#NUM!</v>
      </c>
      <c r="CC167" s="60" t="e">
        <f t="shared" si="119"/>
        <v>#NUM!</v>
      </c>
      <c r="CD167" s="60">
        <f ca="1">AVERAGE(OFFSET($CC$3,0,0,'Données projet'!$E$12+1,1))-AVERAGE(OFFSET($H$3,0,0,'Données projet'!$E$12+1,1))</f>
        <v>353.53401919391234</v>
      </c>
      <c r="CE167" s="60">
        <f t="shared" si="148"/>
        <v>244.7141066773861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-9.0949470177292824E-13</v>
      </c>
      <c r="CU167" s="18">
        <f>CT167*VLOOKUP('Données projet'!$B$13,Paramètres!$A$1:$I$89,3,0)*VLOOKUP('Données projet'!$B$13,Paramètres!$A$1:$I$89,5,0)</f>
        <v>-7.6615833677351478E-13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403.33327536410098</v>
      </c>
      <c r="CZ167" s="60">
        <f t="shared" si="150"/>
        <v>218.26721063098552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3.4106051316484809E-13</v>
      </c>
      <c r="DP167" s="18">
        <f>DO167*VLOOKUP('Données projet'!$B$14,Paramètres!$A$1:$I$89,3,0)*VLOOKUP('Données projet'!$B$14,Paramètres!$A$1:$I$89,5,0)</f>
        <v>2.7134774427395314E-13</v>
      </c>
      <c r="DQ167" s="14">
        <f t="shared" si="176"/>
        <v>3.6292411711343559E-12</v>
      </c>
      <c r="DR167" s="22">
        <f t="shared" si="177"/>
        <v>6.7935256943361388E-12</v>
      </c>
      <c r="DS167" s="60">
        <f t="shared" si="125"/>
        <v>293.33333333334014</v>
      </c>
      <c r="DT167" s="60">
        <f ca="1">AVERAGE(OFFSET($DS$3,0,0,'Données projet'!$E$14+1,1))-AVERAGE(OFFSET($H$3,0,0,'Données projet'!$E$14+1,1))</f>
        <v>317.13087551964747</v>
      </c>
      <c r="DU167" s="60">
        <f t="shared" si="152"/>
        <v>293.43300041793185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1.7053025658242404E-13</v>
      </c>
      <c r="EK167" s="18">
        <f>EJ167*VLOOKUP('Données projet'!$B$15,Paramètres!$A$1:$I$89,3,0)*VLOOKUP('Données projet'!$B$15,Paramètres!$A$1:$I$89,5,0)</f>
        <v>1.3567387213697657E-13</v>
      </c>
      <c r="EL167" s="14">
        <f t="shared" si="179"/>
        <v>1.9670967679808581E-12</v>
      </c>
      <c r="EM167" s="22">
        <f t="shared" si="180"/>
        <v>3.6623255315385623E-12</v>
      </c>
      <c r="EN167" s="60">
        <f t="shared" si="128"/>
        <v>293.33333333333695</v>
      </c>
      <c r="EO167" s="60">
        <f ca="1">AVERAGE(OFFSET($EN$3,0,0,'Données projet'!$E$15+1,1))-AVERAGE(OFFSET($H$3,0,0,'Données projet'!$E$15+1,1))</f>
        <v>253.03289960511904</v>
      </c>
      <c r="EP167" s="60">
        <f t="shared" si="154"/>
        <v>236.85088713056018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1.7053025658242404E-13</v>
      </c>
      <c r="FF167" s="18">
        <f>FE167*VLOOKUP('Données projet'!$B$16,Paramètres!$A$1:$I$89,3,0)*VLOOKUP('Données projet'!$B$16,Paramètres!$A$1:$I$89,5,0)</f>
        <v>1.4897523215040567E-13</v>
      </c>
      <c r="FG167" s="14">
        <f t="shared" si="182"/>
        <v>2.136562777003313E-12</v>
      </c>
      <c r="FH167" s="22">
        <f t="shared" si="183"/>
        <v>3.9806453659427267E-12</v>
      </c>
      <c r="FI167" s="60">
        <f t="shared" si="131"/>
        <v>293.33333333333729</v>
      </c>
      <c r="FJ167" s="60">
        <f ca="1">AVERAGE(OFFSET($FI$3,0,0,'Données projet'!$E$16+1,1))-AVERAGE(OFFSET($H$3,0,0,'Données projet'!$E$16+1,1))</f>
        <v>274.38315511766132</v>
      </c>
      <c r="FK167" s="60">
        <f t="shared" si="156"/>
        <v>255.96663040027175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-1.1368683772161603E-13</v>
      </c>
      <c r="GA167" s="18">
        <f>FZ167*VLOOKUP('Données projet'!$B$17,Paramètres!$A$1:$I$89,3,0)*VLOOKUP('Données projet'!$B$17,Paramètres!$A$1:$I$89,5,0)</f>
        <v>-9.7543306765146564E-14</v>
      </c>
      <c r="GB167" s="14" t="e">
        <f t="shared" si="185"/>
        <v>#NUM!</v>
      </c>
      <c r="GC167" s="22" t="e">
        <f t="shared" si="186"/>
        <v>#NUM!</v>
      </c>
      <c r="GD167" s="60" t="e">
        <f t="shared" si="134"/>
        <v>#NUM!</v>
      </c>
      <c r="GE167" s="60">
        <f ca="1">AVERAGE(OFFSET($GD$3,0,0,'Données projet'!$E$17+1,1))-AVERAGE(OFFSET($H$3,0,0,'Données projet'!$E$17+1,1))</f>
        <v>445.81166342116865</v>
      </c>
      <c r="GF167" s="60">
        <f t="shared" si="158"/>
        <v>230.82970731138215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5.6843418860808015E-14</v>
      </c>
      <c r="GV167" s="18">
        <f>GU167*VLOOKUP('Données projet'!$B$18,Paramètres!$A$1:$I$89,3,0)*VLOOKUP('Données projet'!$B$18,Paramètres!$A$1:$I$89,5,0)</f>
        <v>4.4337866711430253E-14</v>
      </c>
      <c r="GW167" s="14">
        <f t="shared" si="188"/>
        <v>7.3222115536967035E-13</v>
      </c>
      <c r="GX167" s="22">
        <f t="shared" si="189"/>
        <v>1.3525069634579169E-12</v>
      </c>
      <c r="GY167" s="60">
        <f t="shared" si="137"/>
        <v>293.33333333333468</v>
      </c>
      <c r="GZ167" s="60">
        <f ca="1">AVERAGE(OFFSET($GY$3,0,0,'Données projet'!$E$18+1,1))-AVERAGE(OFFSET($H$3,0,0,'Données projet'!$E$18+1,1))</f>
        <v>289.19475369871481</v>
      </c>
      <c r="HA167" s="60">
        <f t="shared" si="160"/>
        <v>283.48738729114024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projet'!$B$18,Paramètres!$A$1:$I$89,3,0)*0.475*44/12</f>
        <v>0</v>
      </c>
      <c r="HH167" s="23">
        <f>EXP(-LN(2)/25)*HH166+(1-EXP(-LN(2)/25))/(LN(2)/25)*Calculateur!HC167*Calculateur!HE167*VLOOKUP('Données projet'!$B$18,Paramètres!$A$1:$I$89,3,0)*0.475*44/12</f>
        <v>0</v>
      </c>
      <c r="HI167" s="23">
        <f>EXP(-LN(2)/2)*HI166+(1-EXP(-LN(2)/2))/(LN(2)/2)*HC167*HF167*VLOOKUP('Données projet'!$B$18,Paramètres!$A$1:$I$89,3,0)*0.475*44/12</f>
        <v>0</v>
      </c>
      <c r="HJ167" s="24">
        <f t="shared" si="190"/>
        <v>0</v>
      </c>
    </row>
    <row r="168" spans="1:218" x14ac:dyDescent="0.3">
      <c r="A168" s="11">
        <f t="shared" si="161"/>
        <v>165</v>
      </c>
      <c r="B168" s="75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8">
        <f t="shared" si="110"/>
        <v>256.66666666666669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-9.0949470177292824E-13</v>
      </c>
      <c r="O168" s="14">
        <f>N168*VLOOKUP('Données projet'!$B$9,Paramètres!$A$1:$I$89,3,0)*VLOOKUP('Données projet'!$B$9,Paramètres!$A$1:$I$89,5,0)</f>
        <v>-8.7966327555477625E-13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456.86147223520601</v>
      </c>
      <c r="T168" s="60">
        <f t="shared" si="142"/>
        <v>244.45149244446094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2.5579538487363607E-13</v>
      </c>
      <c r="AJ168" s="14">
        <f>AI168*VLOOKUP('Données projet'!$B$10,Paramètres!$A$1:$I$89,3,0)*VLOOKUP('Données projet'!$B$10,Paramètres!$A$1:$I$89,5,0)</f>
        <v>1.6759713616920635E-13</v>
      </c>
      <c r="AK168" s="14">
        <f t="shared" si="164"/>
        <v>2.3709043131075133E-12</v>
      </c>
      <c r="AL168" s="22">
        <f t="shared" si="165"/>
        <v>4.4212233574902864E-12</v>
      </c>
      <c r="AM168" s="60">
        <f t="shared" si="113"/>
        <v>293.33333333333775</v>
      </c>
      <c r="AN168" s="60">
        <f ca="1">AVERAGE(OFFSET($AM$3,0,0,'Données projet'!$E$10+1,1))-AVERAGE(OFFSET($H$3,0,0,'Données projet'!$E$10+1,1))</f>
        <v>170.79567854714986</v>
      </c>
      <c r="AO168" s="60">
        <f t="shared" si="144"/>
        <v>155.92788004111191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-1.1368683772161603E-13</v>
      </c>
      <c r="BE168" s="14">
        <f>BD168*VLOOKUP('Données projet'!$B$11,Paramètres!$A$1:$I$89,3,0)*VLOOKUP('Données projet'!$B$11,Paramètres!$A$1:$I$89,5,0)</f>
        <v>-9.2222762759774927E-14</v>
      </c>
      <c r="BF168" s="14" t="e">
        <f t="shared" si="167"/>
        <v>#NUM!</v>
      </c>
      <c r="BG168" s="22" t="e">
        <f t="shared" si="168"/>
        <v>#NUM!</v>
      </c>
      <c r="BH168" s="60" t="e">
        <f t="shared" si="116"/>
        <v>#NUM!</v>
      </c>
      <c r="BI168" s="60">
        <f ca="1">AVERAGE(OFFSET($BH$3,0,0,'Données projet'!$E$11+1,1))-AVERAGE(OFFSET($H$3,0,0,'Données projet'!$E$11+1,1))</f>
        <v>256.19915261735281</v>
      </c>
      <c r="BJ168" s="60">
        <f t="shared" si="146"/>
        <v>297.47246687305056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-5.6843418860808015E-14</v>
      </c>
      <c r="BZ168" s="14">
        <f>BY168*VLOOKUP('Données projet'!$B$12,Paramètres!$A$1:$I$89,3,0)*VLOOKUP('Données projet'!$B$12,Paramètres!$A$1:$I$89,5,0)</f>
        <v>-5.4092197387944907E-14</v>
      </c>
      <c r="CA168" s="14" t="e">
        <f t="shared" si="170"/>
        <v>#NUM!</v>
      </c>
      <c r="CB168" s="22" t="e">
        <f t="shared" si="171"/>
        <v>#NUM!</v>
      </c>
      <c r="CC168" s="60" t="e">
        <f t="shared" si="119"/>
        <v>#NUM!</v>
      </c>
      <c r="CD168" s="60">
        <f ca="1">AVERAGE(OFFSET($CC$3,0,0,'Données projet'!$E$12+1,1))-AVERAGE(OFFSET($H$3,0,0,'Données projet'!$E$12+1,1))</f>
        <v>353.53401919391234</v>
      </c>
      <c r="CE168" s="60">
        <f t="shared" si="148"/>
        <v>244.7141066773861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-9.0949470177292824E-13</v>
      </c>
      <c r="CU168" s="18">
        <f>CT168*VLOOKUP('Données projet'!$B$13,Paramètres!$A$1:$I$89,3,0)*VLOOKUP('Données projet'!$B$13,Paramètres!$A$1:$I$89,5,0)</f>
        <v>-7.6615833677351478E-13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403.33327536410098</v>
      </c>
      <c r="CZ168" s="60">
        <f t="shared" si="150"/>
        <v>218.26721063098552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3.4106051316484809E-13</v>
      </c>
      <c r="DP168" s="18">
        <f>DO168*VLOOKUP('Données projet'!$B$14,Paramètres!$A$1:$I$89,3,0)*VLOOKUP('Données projet'!$B$14,Paramètres!$A$1:$I$89,5,0)</f>
        <v>2.7134774427395314E-13</v>
      </c>
      <c r="DQ168" s="14">
        <f t="shared" si="176"/>
        <v>3.6292411711343559E-12</v>
      </c>
      <c r="DR168" s="22">
        <f t="shared" si="177"/>
        <v>6.7935256943361388E-12</v>
      </c>
      <c r="DS168" s="60">
        <f t="shared" si="125"/>
        <v>293.33333333334014</v>
      </c>
      <c r="DT168" s="60">
        <f ca="1">AVERAGE(OFFSET($DS$3,0,0,'Données projet'!$E$14+1,1))-AVERAGE(OFFSET($H$3,0,0,'Données projet'!$E$14+1,1))</f>
        <v>317.13087551964747</v>
      </c>
      <c r="DU168" s="60">
        <f t="shared" si="152"/>
        <v>293.43300041793185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1.7053025658242404E-13</v>
      </c>
      <c r="EK168" s="18">
        <f>EJ168*VLOOKUP('Données projet'!$B$15,Paramètres!$A$1:$I$89,3,0)*VLOOKUP('Données projet'!$B$15,Paramètres!$A$1:$I$89,5,0)</f>
        <v>1.3567387213697657E-13</v>
      </c>
      <c r="EL168" s="14">
        <f t="shared" si="179"/>
        <v>1.9670967679808581E-12</v>
      </c>
      <c r="EM168" s="22">
        <f t="shared" si="180"/>
        <v>3.6623255315385623E-12</v>
      </c>
      <c r="EN168" s="60">
        <f t="shared" si="128"/>
        <v>293.33333333333695</v>
      </c>
      <c r="EO168" s="60">
        <f ca="1">AVERAGE(OFFSET($EN$3,0,0,'Données projet'!$E$15+1,1))-AVERAGE(OFFSET($H$3,0,0,'Données projet'!$E$15+1,1))</f>
        <v>253.03289960511904</v>
      </c>
      <c r="EP168" s="60">
        <f t="shared" si="154"/>
        <v>236.85088713056018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1.7053025658242404E-13</v>
      </c>
      <c r="FF168" s="18">
        <f>FE168*VLOOKUP('Données projet'!$B$16,Paramètres!$A$1:$I$89,3,0)*VLOOKUP('Données projet'!$B$16,Paramètres!$A$1:$I$89,5,0)</f>
        <v>1.4897523215040567E-13</v>
      </c>
      <c r="FG168" s="14">
        <f t="shared" si="182"/>
        <v>2.136562777003313E-12</v>
      </c>
      <c r="FH168" s="22">
        <f t="shared" si="183"/>
        <v>3.9806453659427267E-12</v>
      </c>
      <c r="FI168" s="60">
        <f t="shared" si="131"/>
        <v>293.33333333333729</v>
      </c>
      <c r="FJ168" s="60">
        <f ca="1">AVERAGE(OFFSET($FI$3,0,0,'Données projet'!$E$16+1,1))-AVERAGE(OFFSET($H$3,0,0,'Données projet'!$E$16+1,1))</f>
        <v>274.38315511766132</v>
      </c>
      <c r="FK168" s="60">
        <f t="shared" si="156"/>
        <v>255.96663040027175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-1.1368683772161603E-13</v>
      </c>
      <c r="GA168" s="18">
        <f>FZ168*VLOOKUP('Données projet'!$B$17,Paramètres!$A$1:$I$89,3,0)*VLOOKUP('Données projet'!$B$17,Paramètres!$A$1:$I$89,5,0)</f>
        <v>-9.7543306765146564E-14</v>
      </c>
      <c r="GB168" s="14" t="e">
        <f t="shared" si="185"/>
        <v>#NUM!</v>
      </c>
      <c r="GC168" s="22" t="e">
        <f t="shared" si="186"/>
        <v>#NUM!</v>
      </c>
      <c r="GD168" s="60" t="e">
        <f t="shared" si="134"/>
        <v>#NUM!</v>
      </c>
      <c r="GE168" s="60">
        <f ca="1">AVERAGE(OFFSET($GD$3,0,0,'Données projet'!$E$17+1,1))-AVERAGE(OFFSET($H$3,0,0,'Données projet'!$E$17+1,1))</f>
        <v>445.81166342116865</v>
      </c>
      <c r="GF168" s="60">
        <f t="shared" si="158"/>
        <v>230.82970731138215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5.6843418860808015E-14</v>
      </c>
      <c r="GV168" s="18">
        <f>GU168*VLOOKUP('Données projet'!$B$18,Paramètres!$A$1:$I$89,3,0)*VLOOKUP('Données projet'!$B$18,Paramètres!$A$1:$I$89,5,0)</f>
        <v>4.4337866711430253E-14</v>
      </c>
      <c r="GW168" s="14">
        <f t="shared" si="188"/>
        <v>7.3222115536967035E-13</v>
      </c>
      <c r="GX168" s="22">
        <f t="shared" si="189"/>
        <v>1.3525069634579169E-12</v>
      </c>
      <c r="GY168" s="60">
        <f t="shared" si="137"/>
        <v>293.33333333333468</v>
      </c>
      <c r="GZ168" s="60">
        <f ca="1">AVERAGE(OFFSET($GY$3,0,0,'Données projet'!$E$18+1,1))-AVERAGE(OFFSET($H$3,0,0,'Données projet'!$E$18+1,1))</f>
        <v>289.19475369871481</v>
      </c>
      <c r="HA168" s="60">
        <f t="shared" si="160"/>
        <v>283.48738729114024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projet'!$B$18,Paramètres!$A$1:$I$89,3,0)*0.475*44/12</f>
        <v>0</v>
      </c>
      <c r="HH168" s="23">
        <f>EXP(-LN(2)/25)*HH167+(1-EXP(-LN(2)/25))/(LN(2)/25)*Calculateur!HC168*Calculateur!HE168*VLOOKUP('Données projet'!$B$18,Paramètres!$A$1:$I$89,3,0)*0.475*44/12</f>
        <v>0</v>
      </c>
      <c r="HI168" s="23">
        <f>EXP(-LN(2)/2)*HI167+(1-EXP(-LN(2)/2))/(LN(2)/2)*HC168*HF168*VLOOKUP('Données projet'!$B$18,Paramètres!$A$1:$I$89,3,0)*0.475*44/12</f>
        <v>0</v>
      </c>
      <c r="HJ168" s="24">
        <f t="shared" si="190"/>
        <v>0</v>
      </c>
    </row>
    <row r="169" spans="1:218" x14ac:dyDescent="0.3">
      <c r="A169" s="11">
        <f t="shared" si="161"/>
        <v>166</v>
      </c>
      <c r="B169" s="75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8">
        <f t="shared" si="110"/>
        <v>256.66666666666669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-9.0949470177292824E-13</v>
      </c>
      <c r="O169" s="14">
        <f>N169*VLOOKUP('Données projet'!$B$9,Paramètres!$A$1:$I$89,3,0)*VLOOKUP('Données projet'!$B$9,Paramètres!$A$1:$I$89,5,0)</f>
        <v>-8.7966327555477625E-13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456.86147223520601</v>
      </c>
      <c r="T169" s="60">
        <f t="shared" si="142"/>
        <v>244.45149244446094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2.5579538487363607E-13</v>
      </c>
      <c r="AJ169" s="14">
        <f>AI169*VLOOKUP('Données projet'!$B$10,Paramètres!$A$1:$I$89,3,0)*VLOOKUP('Données projet'!$B$10,Paramètres!$A$1:$I$89,5,0)</f>
        <v>1.6759713616920635E-13</v>
      </c>
      <c r="AK169" s="14">
        <f t="shared" si="164"/>
        <v>2.3709043131075133E-12</v>
      </c>
      <c r="AL169" s="22">
        <f t="shared" si="165"/>
        <v>4.4212233574902864E-12</v>
      </c>
      <c r="AM169" s="60">
        <f t="shared" si="113"/>
        <v>293.33333333333775</v>
      </c>
      <c r="AN169" s="60">
        <f ca="1">AVERAGE(OFFSET($AM$3,0,0,'Données projet'!$E$10+1,1))-AVERAGE(OFFSET($H$3,0,0,'Données projet'!$E$10+1,1))</f>
        <v>170.79567854714986</v>
      </c>
      <c r="AO169" s="60">
        <f t="shared" si="144"/>
        <v>155.92788004111191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-1.1368683772161603E-13</v>
      </c>
      <c r="BE169" s="14">
        <f>BD169*VLOOKUP('Données projet'!$B$11,Paramètres!$A$1:$I$89,3,0)*VLOOKUP('Données projet'!$B$11,Paramètres!$A$1:$I$89,5,0)</f>
        <v>-9.2222762759774927E-14</v>
      </c>
      <c r="BF169" s="14" t="e">
        <f t="shared" si="167"/>
        <v>#NUM!</v>
      </c>
      <c r="BG169" s="22" t="e">
        <f t="shared" si="168"/>
        <v>#NUM!</v>
      </c>
      <c r="BH169" s="60" t="e">
        <f t="shared" si="116"/>
        <v>#NUM!</v>
      </c>
      <c r="BI169" s="60">
        <f ca="1">AVERAGE(OFFSET($BH$3,0,0,'Données projet'!$E$11+1,1))-AVERAGE(OFFSET($H$3,0,0,'Données projet'!$E$11+1,1))</f>
        <v>256.19915261735281</v>
      </c>
      <c r="BJ169" s="60">
        <f t="shared" si="146"/>
        <v>297.47246687305056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-5.6843418860808015E-14</v>
      </c>
      <c r="BZ169" s="14">
        <f>BY169*VLOOKUP('Données projet'!$B$12,Paramètres!$A$1:$I$89,3,0)*VLOOKUP('Données projet'!$B$12,Paramètres!$A$1:$I$89,5,0)</f>
        <v>-5.4092197387944907E-14</v>
      </c>
      <c r="CA169" s="14" t="e">
        <f t="shared" si="170"/>
        <v>#NUM!</v>
      </c>
      <c r="CB169" s="22" t="e">
        <f t="shared" si="171"/>
        <v>#NUM!</v>
      </c>
      <c r="CC169" s="60" t="e">
        <f t="shared" si="119"/>
        <v>#NUM!</v>
      </c>
      <c r="CD169" s="60">
        <f ca="1">AVERAGE(OFFSET($CC$3,0,0,'Données projet'!$E$12+1,1))-AVERAGE(OFFSET($H$3,0,0,'Données projet'!$E$12+1,1))</f>
        <v>353.53401919391234</v>
      </c>
      <c r="CE169" s="60">
        <f t="shared" si="148"/>
        <v>244.7141066773861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-9.0949470177292824E-13</v>
      </c>
      <c r="CU169" s="18">
        <f>CT169*VLOOKUP('Données projet'!$B$13,Paramètres!$A$1:$I$89,3,0)*VLOOKUP('Données projet'!$B$13,Paramètres!$A$1:$I$89,5,0)</f>
        <v>-7.6615833677351478E-13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403.33327536410098</v>
      </c>
      <c r="CZ169" s="60">
        <f t="shared" si="150"/>
        <v>218.26721063098552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3.4106051316484809E-13</v>
      </c>
      <c r="DP169" s="18">
        <f>DO169*VLOOKUP('Données projet'!$B$14,Paramètres!$A$1:$I$89,3,0)*VLOOKUP('Données projet'!$B$14,Paramètres!$A$1:$I$89,5,0)</f>
        <v>2.7134774427395314E-13</v>
      </c>
      <c r="DQ169" s="14">
        <f t="shared" si="176"/>
        <v>3.6292411711343559E-12</v>
      </c>
      <c r="DR169" s="22">
        <f t="shared" si="177"/>
        <v>6.7935256943361388E-12</v>
      </c>
      <c r="DS169" s="60">
        <f t="shared" si="125"/>
        <v>293.33333333334014</v>
      </c>
      <c r="DT169" s="60">
        <f ca="1">AVERAGE(OFFSET($DS$3,0,0,'Données projet'!$E$14+1,1))-AVERAGE(OFFSET($H$3,0,0,'Données projet'!$E$14+1,1))</f>
        <v>317.13087551964747</v>
      </c>
      <c r="DU169" s="60">
        <f t="shared" si="152"/>
        <v>293.43300041793185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1.7053025658242404E-13</v>
      </c>
      <c r="EK169" s="18">
        <f>EJ169*VLOOKUP('Données projet'!$B$15,Paramètres!$A$1:$I$89,3,0)*VLOOKUP('Données projet'!$B$15,Paramètres!$A$1:$I$89,5,0)</f>
        <v>1.3567387213697657E-13</v>
      </c>
      <c r="EL169" s="14">
        <f t="shared" si="179"/>
        <v>1.9670967679808581E-12</v>
      </c>
      <c r="EM169" s="22">
        <f t="shared" si="180"/>
        <v>3.6623255315385623E-12</v>
      </c>
      <c r="EN169" s="60">
        <f t="shared" si="128"/>
        <v>293.33333333333695</v>
      </c>
      <c r="EO169" s="60">
        <f ca="1">AVERAGE(OFFSET($EN$3,0,0,'Données projet'!$E$15+1,1))-AVERAGE(OFFSET($H$3,0,0,'Données projet'!$E$15+1,1))</f>
        <v>253.03289960511904</v>
      </c>
      <c r="EP169" s="60">
        <f t="shared" si="154"/>
        <v>236.85088713056018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1.7053025658242404E-13</v>
      </c>
      <c r="FF169" s="18">
        <f>FE169*VLOOKUP('Données projet'!$B$16,Paramètres!$A$1:$I$89,3,0)*VLOOKUP('Données projet'!$B$16,Paramètres!$A$1:$I$89,5,0)</f>
        <v>1.4897523215040567E-13</v>
      </c>
      <c r="FG169" s="14">
        <f t="shared" si="182"/>
        <v>2.136562777003313E-12</v>
      </c>
      <c r="FH169" s="22">
        <f t="shared" si="183"/>
        <v>3.9806453659427267E-12</v>
      </c>
      <c r="FI169" s="60">
        <f t="shared" si="131"/>
        <v>293.33333333333729</v>
      </c>
      <c r="FJ169" s="60">
        <f ca="1">AVERAGE(OFFSET($FI$3,0,0,'Données projet'!$E$16+1,1))-AVERAGE(OFFSET($H$3,0,0,'Données projet'!$E$16+1,1))</f>
        <v>274.38315511766132</v>
      </c>
      <c r="FK169" s="60">
        <f t="shared" si="156"/>
        <v>255.96663040027175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-1.1368683772161603E-13</v>
      </c>
      <c r="GA169" s="18">
        <f>FZ169*VLOOKUP('Données projet'!$B$17,Paramètres!$A$1:$I$89,3,0)*VLOOKUP('Données projet'!$B$17,Paramètres!$A$1:$I$89,5,0)</f>
        <v>-9.7543306765146564E-14</v>
      </c>
      <c r="GB169" s="14" t="e">
        <f t="shared" si="185"/>
        <v>#NUM!</v>
      </c>
      <c r="GC169" s="22" t="e">
        <f t="shared" si="186"/>
        <v>#NUM!</v>
      </c>
      <c r="GD169" s="60" t="e">
        <f t="shared" si="134"/>
        <v>#NUM!</v>
      </c>
      <c r="GE169" s="60">
        <f ca="1">AVERAGE(OFFSET($GD$3,0,0,'Données projet'!$E$17+1,1))-AVERAGE(OFFSET($H$3,0,0,'Données projet'!$E$17+1,1))</f>
        <v>445.81166342116865</v>
      </c>
      <c r="GF169" s="60">
        <f t="shared" si="158"/>
        <v>230.82970731138215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5.6843418860808015E-14</v>
      </c>
      <c r="GV169" s="18">
        <f>GU169*VLOOKUP('Données projet'!$B$18,Paramètres!$A$1:$I$89,3,0)*VLOOKUP('Données projet'!$B$18,Paramètres!$A$1:$I$89,5,0)</f>
        <v>4.4337866711430253E-14</v>
      </c>
      <c r="GW169" s="14">
        <f t="shared" si="188"/>
        <v>7.3222115536967035E-13</v>
      </c>
      <c r="GX169" s="22">
        <f t="shared" si="189"/>
        <v>1.3525069634579169E-12</v>
      </c>
      <c r="GY169" s="60">
        <f t="shared" si="137"/>
        <v>293.33333333333468</v>
      </c>
      <c r="GZ169" s="60">
        <f ca="1">AVERAGE(OFFSET($GY$3,0,0,'Données projet'!$E$18+1,1))-AVERAGE(OFFSET($H$3,0,0,'Données projet'!$E$18+1,1))</f>
        <v>289.19475369871481</v>
      </c>
      <c r="HA169" s="60">
        <f t="shared" si="160"/>
        <v>283.48738729114024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projet'!$B$18,Paramètres!$A$1:$I$89,3,0)*0.475*44/12</f>
        <v>0</v>
      </c>
      <c r="HH169" s="23">
        <f>EXP(-LN(2)/25)*HH168+(1-EXP(-LN(2)/25))/(LN(2)/25)*Calculateur!HC169*Calculateur!HE169*VLOOKUP('Données projet'!$B$18,Paramètres!$A$1:$I$89,3,0)*0.475*44/12</f>
        <v>0</v>
      </c>
      <c r="HI169" s="23">
        <f>EXP(-LN(2)/2)*HI168+(1-EXP(-LN(2)/2))/(LN(2)/2)*HC169*HF169*VLOOKUP('Données projet'!$B$18,Paramètres!$A$1:$I$89,3,0)*0.475*44/12</f>
        <v>0</v>
      </c>
      <c r="HJ169" s="24">
        <f t="shared" si="190"/>
        <v>0</v>
      </c>
    </row>
    <row r="170" spans="1:218" x14ac:dyDescent="0.3">
      <c r="A170" s="11">
        <f t="shared" si="161"/>
        <v>167</v>
      </c>
      <c r="B170" s="75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8">
        <f t="shared" si="110"/>
        <v>256.66666666666669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-9.0949470177292824E-13</v>
      </c>
      <c r="O170" s="14">
        <f>N170*VLOOKUP('Données projet'!$B$9,Paramètres!$A$1:$I$89,3,0)*VLOOKUP('Données projet'!$B$9,Paramètres!$A$1:$I$89,5,0)</f>
        <v>-8.7966327555477625E-13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456.86147223520601</v>
      </c>
      <c r="T170" s="60">
        <f t="shared" si="142"/>
        <v>244.45149244446094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2.5579538487363607E-13</v>
      </c>
      <c r="AJ170" s="14">
        <f>AI170*VLOOKUP('Données projet'!$B$10,Paramètres!$A$1:$I$89,3,0)*VLOOKUP('Données projet'!$B$10,Paramètres!$A$1:$I$89,5,0)</f>
        <v>1.6759713616920635E-13</v>
      </c>
      <c r="AK170" s="14">
        <f t="shared" si="164"/>
        <v>2.3709043131075133E-12</v>
      </c>
      <c r="AL170" s="22">
        <f t="shared" si="165"/>
        <v>4.4212233574902864E-12</v>
      </c>
      <c r="AM170" s="60">
        <f t="shared" si="113"/>
        <v>293.33333333333775</v>
      </c>
      <c r="AN170" s="60">
        <f ca="1">AVERAGE(OFFSET($AM$3,0,0,'Données projet'!$E$10+1,1))-AVERAGE(OFFSET($H$3,0,0,'Données projet'!$E$10+1,1))</f>
        <v>170.79567854714986</v>
      </c>
      <c r="AO170" s="60">
        <f t="shared" si="144"/>
        <v>155.92788004111191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-1.1368683772161603E-13</v>
      </c>
      <c r="BE170" s="14">
        <f>BD170*VLOOKUP('Données projet'!$B$11,Paramètres!$A$1:$I$89,3,0)*VLOOKUP('Données projet'!$B$11,Paramètres!$A$1:$I$89,5,0)</f>
        <v>-9.2222762759774927E-14</v>
      </c>
      <c r="BF170" s="14" t="e">
        <f t="shared" si="167"/>
        <v>#NUM!</v>
      </c>
      <c r="BG170" s="22" t="e">
        <f t="shared" si="168"/>
        <v>#NUM!</v>
      </c>
      <c r="BH170" s="60" t="e">
        <f t="shared" si="116"/>
        <v>#NUM!</v>
      </c>
      <c r="BI170" s="60">
        <f ca="1">AVERAGE(OFFSET($BH$3,0,0,'Données projet'!$E$11+1,1))-AVERAGE(OFFSET($H$3,0,0,'Données projet'!$E$11+1,1))</f>
        <v>256.19915261735281</v>
      </c>
      <c r="BJ170" s="60">
        <f t="shared" si="146"/>
        <v>297.47246687305056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-5.6843418860808015E-14</v>
      </c>
      <c r="BZ170" s="14">
        <f>BY170*VLOOKUP('Données projet'!$B$12,Paramètres!$A$1:$I$89,3,0)*VLOOKUP('Données projet'!$B$12,Paramètres!$A$1:$I$89,5,0)</f>
        <v>-5.4092197387944907E-14</v>
      </c>
      <c r="CA170" s="14" t="e">
        <f t="shared" si="170"/>
        <v>#NUM!</v>
      </c>
      <c r="CB170" s="22" t="e">
        <f t="shared" si="171"/>
        <v>#NUM!</v>
      </c>
      <c r="CC170" s="60" t="e">
        <f t="shared" si="119"/>
        <v>#NUM!</v>
      </c>
      <c r="CD170" s="60">
        <f ca="1">AVERAGE(OFFSET($CC$3,0,0,'Données projet'!$E$12+1,1))-AVERAGE(OFFSET($H$3,0,0,'Données projet'!$E$12+1,1))</f>
        <v>353.53401919391234</v>
      </c>
      <c r="CE170" s="60">
        <f t="shared" si="148"/>
        <v>244.7141066773861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-9.0949470177292824E-13</v>
      </c>
      <c r="CU170" s="18">
        <f>CT170*VLOOKUP('Données projet'!$B$13,Paramètres!$A$1:$I$89,3,0)*VLOOKUP('Données projet'!$B$13,Paramètres!$A$1:$I$89,5,0)</f>
        <v>-7.6615833677351478E-13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403.33327536410098</v>
      </c>
      <c r="CZ170" s="60">
        <f t="shared" si="150"/>
        <v>218.26721063098552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3.4106051316484809E-13</v>
      </c>
      <c r="DP170" s="18">
        <f>DO170*VLOOKUP('Données projet'!$B$14,Paramètres!$A$1:$I$89,3,0)*VLOOKUP('Données projet'!$B$14,Paramètres!$A$1:$I$89,5,0)</f>
        <v>2.7134774427395314E-13</v>
      </c>
      <c r="DQ170" s="14">
        <f t="shared" si="176"/>
        <v>3.6292411711343559E-12</v>
      </c>
      <c r="DR170" s="22">
        <f t="shared" si="177"/>
        <v>6.7935256943361388E-12</v>
      </c>
      <c r="DS170" s="60">
        <f t="shared" si="125"/>
        <v>293.33333333334014</v>
      </c>
      <c r="DT170" s="60">
        <f ca="1">AVERAGE(OFFSET($DS$3,0,0,'Données projet'!$E$14+1,1))-AVERAGE(OFFSET($H$3,0,0,'Données projet'!$E$14+1,1))</f>
        <v>317.13087551964747</v>
      </c>
      <c r="DU170" s="60">
        <f t="shared" si="152"/>
        <v>293.43300041793185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1.7053025658242404E-13</v>
      </c>
      <c r="EK170" s="18">
        <f>EJ170*VLOOKUP('Données projet'!$B$15,Paramètres!$A$1:$I$89,3,0)*VLOOKUP('Données projet'!$B$15,Paramètres!$A$1:$I$89,5,0)</f>
        <v>1.3567387213697657E-13</v>
      </c>
      <c r="EL170" s="14">
        <f t="shared" si="179"/>
        <v>1.9670967679808581E-12</v>
      </c>
      <c r="EM170" s="22">
        <f t="shared" si="180"/>
        <v>3.6623255315385623E-12</v>
      </c>
      <c r="EN170" s="60">
        <f t="shared" si="128"/>
        <v>293.33333333333695</v>
      </c>
      <c r="EO170" s="60">
        <f ca="1">AVERAGE(OFFSET($EN$3,0,0,'Données projet'!$E$15+1,1))-AVERAGE(OFFSET($H$3,0,0,'Données projet'!$E$15+1,1))</f>
        <v>253.03289960511904</v>
      </c>
      <c r="EP170" s="60">
        <f t="shared" si="154"/>
        <v>236.85088713056018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1.7053025658242404E-13</v>
      </c>
      <c r="FF170" s="18">
        <f>FE170*VLOOKUP('Données projet'!$B$16,Paramètres!$A$1:$I$89,3,0)*VLOOKUP('Données projet'!$B$16,Paramètres!$A$1:$I$89,5,0)</f>
        <v>1.4897523215040567E-13</v>
      </c>
      <c r="FG170" s="14">
        <f t="shared" si="182"/>
        <v>2.136562777003313E-12</v>
      </c>
      <c r="FH170" s="22">
        <f t="shared" si="183"/>
        <v>3.9806453659427267E-12</v>
      </c>
      <c r="FI170" s="60">
        <f t="shared" si="131"/>
        <v>293.33333333333729</v>
      </c>
      <c r="FJ170" s="60">
        <f ca="1">AVERAGE(OFFSET($FI$3,0,0,'Données projet'!$E$16+1,1))-AVERAGE(OFFSET($H$3,0,0,'Données projet'!$E$16+1,1))</f>
        <v>274.38315511766132</v>
      </c>
      <c r="FK170" s="60">
        <f t="shared" si="156"/>
        <v>255.96663040027175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-1.1368683772161603E-13</v>
      </c>
      <c r="GA170" s="18">
        <f>FZ170*VLOOKUP('Données projet'!$B$17,Paramètres!$A$1:$I$89,3,0)*VLOOKUP('Données projet'!$B$17,Paramètres!$A$1:$I$89,5,0)</f>
        <v>-9.7543306765146564E-14</v>
      </c>
      <c r="GB170" s="14" t="e">
        <f t="shared" si="185"/>
        <v>#NUM!</v>
      </c>
      <c r="GC170" s="22" t="e">
        <f t="shared" si="186"/>
        <v>#NUM!</v>
      </c>
      <c r="GD170" s="60" t="e">
        <f t="shared" si="134"/>
        <v>#NUM!</v>
      </c>
      <c r="GE170" s="60">
        <f ca="1">AVERAGE(OFFSET($GD$3,0,0,'Données projet'!$E$17+1,1))-AVERAGE(OFFSET($H$3,0,0,'Données projet'!$E$17+1,1))</f>
        <v>445.81166342116865</v>
      </c>
      <c r="GF170" s="60">
        <f t="shared" si="158"/>
        <v>230.82970731138215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5.6843418860808015E-14</v>
      </c>
      <c r="GV170" s="18">
        <f>GU170*VLOOKUP('Données projet'!$B$18,Paramètres!$A$1:$I$89,3,0)*VLOOKUP('Données projet'!$B$18,Paramètres!$A$1:$I$89,5,0)</f>
        <v>4.4337866711430253E-14</v>
      </c>
      <c r="GW170" s="14">
        <f t="shared" si="188"/>
        <v>7.3222115536967035E-13</v>
      </c>
      <c r="GX170" s="22">
        <f t="shared" si="189"/>
        <v>1.3525069634579169E-12</v>
      </c>
      <c r="GY170" s="60">
        <f t="shared" si="137"/>
        <v>293.33333333333468</v>
      </c>
      <c r="GZ170" s="60">
        <f ca="1">AVERAGE(OFFSET($GY$3,0,0,'Données projet'!$E$18+1,1))-AVERAGE(OFFSET($H$3,0,0,'Données projet'!$E$18+1,1))</f>
        <v>289.19475369871481</v>
      </c>
      <c r="HA170" s="60">
        <f t="shared" si="160"/>
        <v>283.48738729114024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projet'!$B$18,Paramètres!$A$1:$I$89,3,0)*0.475*44/12</f>
        <v>0</v>
      </c>
      <c r="HH170" s="23">
        <f>EXP(-LN(2)/25)*HH169+(1-EXP(-LN(2)/25))/(LN(2)/25)*Calculateur!HC170*Calculateur!HE170*VLOOKUP('Données projet'!$B$18,Paramètres!$A$1:$I$89,3,0)*0.475*44/12</f>
        <v>0</v>
      </c>
      <c r="HI170" s="23">
        <f>EXP(-LN(2)/2)*HI169+(1-EXP(-LN(2)/2))/(LN(2)/2)*HC170*HF170*VLOOKUP('Données projet'!$B$18,Paramètres!$A$1:$I$89,3,0)*0.475*44/12</f>
        <v>0</v>
      </c>
      <c r="HJ170" s="24">
        <f t="shared" si="190"/>
        <v>0</v>
      </c>
    </row>
    <row r="171" spans="1:218" x14ac:dyDescent="0.3">
      <c r="A171" s="11">
        <f t="shared" si="161"/>
        <v>168</v>
      </c>
      <c r="B171" s="75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8">
        <f t="shared" si="110"/>
        <v>256.66666666666669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-9.0949470177292824E-13</v>
      </c>
      <c r="O171" s="14">
        <f>N171*VLOOKUP('Données projet'!$B$9,Paramètres!$A$1:$I$89,3,0)*VLOOKUP('Données projet'!$B$9,Paramètres!$A$1:$I$89,5,0)</f>
        <v>-8.7966327555477625E-13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456.86147223520601</v>
      </c>
      <c r="T171" s="60">
        <f t="shared" si="142"/>
        <v>244.45149244446094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2.5579538487363607E-13</v>
      </c>
      <c r="AJ171" s="14">
        <f>AI171*VLOOKUP('Données projet'!$B$10,Paramètres!$A$1:$I$89,3,0)*VLOOKUP('Données projet'!$B$10,Paramètres!$A$1:$I$89,5,0)</f>
        <v>1.6759713616920635E-13</v>
      </c>
      <c r="AK171" s="14">
        <f t="shared" si="164"/>
        <v>2.3709043131075133E-12</v>
      </c>
      <c r="AL171" s="22">
        <f t="shared" si="165"/>
        <v>4.4212233574902864E-12</v>
      </c>
      <c r="AM171" s="60">
        <f t="shared" si="113"/>
        <v>293.33333333333775</v>
      </c>
      <c r="AN171" s="60">
        <f ca="1">AVERAGE(OFFSET($AM$3,0,0,'Données projet'!$E$10+1,1))-AVERAGE(OFFSET($H$3,0,0,'Données projet'!$E$10+1,1))</f>
        <v>170.79567854714986</v>
      </c>
      <c r="AO171" s="60">
        <f t="shared" si="144"/>
        <v>155.92788004111191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-1.1368683772161603E-13</v>
      </c>
      <c r="BE171" s="14">
        <f>BD171*VLOOKUP('Données projet'!$B$11,Paramètres!$A$1:$I$89,3,0)*VLOOKUP('Données projet'!$B$11,Paramètres!$A$1:$I$89,5,0)</f>
        <v>-9.2222762759774927E-14</v>
      </c>
      <c r="BF171" s="14" t="e">
        <f t="shared" si="167"/>
        <v>#NUM!</v>
      </c>
      <c r="BG171" s="22" t="e">
        <f t="shared" si="168"/>
        <v>#NUM!</v>
      </c>
      <c r="BH171" s="60" t="e">
        <f t="shared" si="116"/>
        <v>#NUM!</v>
      </c>
      <c r="BI171" s="60">
        <f ca="1">AVERAGE(OFFSET($BH$3,0,0,'Données projet'!$E$11+1,1))-AVERAGE(OFFSET($H$3,0,0,'Données projet'!$E$11+1,1))</f>
        <v>256.19915261735281</v>
      </c>
      <c r="BJ171" s="60">
        <f t="shared" si="146"/>
        <v>297.47246687305056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-5.6843418860808015E-14</v>
      </c>
      <c r="BZ171" s="14">
        <f>BY171*VLOOKUP('Données projet'!$B$12,Paramètres!$A$1:$I$89,3,0)*VLOOKUP('Données projet'!$B$12,Paramètres!$A$1:$I$89,5,0)</f>
        <v>-5.4092197387944907E-14</v>
      </c>
      <c r="CA171" s="14" t="e">
        <f t="shared" si="170"/>
        <v>#NUM!</v>
      </c>
      <c r="CB171" s="22" t="e">
        <f t="shared" si="171"/>
        <v>#NUM!</v>
      </c>
      <c r="CC171" s="60" t="e">
        <f t="shared" si="119"/>
        <v>#NUM!</v>
      </c>
      <c r="CD171" s="60">
        <f ca="1">AVERAGE(OFFSET($CC$3,0,0,'Données projet'!$E$12+1,1))-AVERAGE(OFFSET($H$3,0,0,'Données projet'!$E$12+1,1))</f>
        <v>353.53401919391234</v>
      </c>
      <c r="CE171" s="60">
        <f t="shared" si="148"/>
        <v>244.7141066773861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-9.0949470177292824E-13</v>
      </c>
      <c r="CU171" s="18">
        <f>CT171*VLOOKUP('Données projet'!$B$13,Paramètres!$A$1:$I$89,3,0)*VLOOKUP('Données projet'!$B$13,Paramètres!$A$1:$I$89,5,0)</f>
        <v>-7.6615833677351478E-13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403.33327536410098</v>
      </c>
      <c r="CZ171" s="60">
        <f t="shared" si="150"/>
        <v>218.26721063098552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3.4106051316484809E-13</v>
      </c>
      <c r="DP171" s="18">
        <f>DO171*VLOOKUP('Données projet'!$B$14,Paramètres!$A$1:$I$89,3,0)*VLOOKUP('Données projet'!$B$14,Paramètres!$A$1:$I$89,5,0)</f>
        <v>2.7134774427395314E-13</v>
      </c>
      <c r="DQ171" s="14">
        <f t="shared" si="176"/>
        <v>3.6292411711343559E-12</v>
      </c>
      <c r="DR171" s="22">
        <f t="shared" si="177"/>
        <v>6.7935256943361388E-12</v>
      </c>
      <c r="DS171" s="60">
        <f t="shared" si="125"/>
        <v>293.33333333334014</v>
      </c>
      <c r="DT171" s="60">
        <f ca="1">AVERAGE(OFFSET($DS$3,0,0,'Données projet'!$E$14+1,1))-AVERAGE(OFFSET($H$3,0,0,'Données projet'!$E$14+1,1))</f>
        <v>317.13087551964747</v>
      </c>
      <c r="DU171" s="60">
        <f t="shared" si="152"/>
        <v>293.43300041793185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1.7053025658242404E-13</v>
      </c>
      <c r="EK171" s="18">
        <f>EJ171*VLOOKUP('Données projet'!$B$15,Paramètres!$A$1:$I$89,3,0)*VLOOKUP('Données projet'!$B$15,Paramètres!$A$1:$I$89,5,0)</f>
        <v>1.3567387213697657E-13</v>
      </c>
      <c r="EL171" s="14">
        <f t="shared" si="179"/>
        <v>1.9670967679808581E-12</v>
      </c>
      <c r="EM171" s="22">
        <f t="shared" si="180"/>
        <v>3.6623255315385623E-12</v>
      </c>
      <c r="EN171" s="60">
        <f t="shared" si="128"/>
        <v>293.33333333333695</v>
      </c>
      <c r="EO171" s="60">
        <f ca="1">AVERAGE(OFFSET($EN$3,0,0,'Données projet'!$E$15+1,1))-AVERAGE(OFFSET($H$3,0,0,'Données projet'!$E$15+1,1))</f>
        <v>253.03289960511904</v>
      </c>
      <c r="EP171" s="60">
        <f t="shared" si="154"/>
        <v>236.85088713056018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1.7053025658242404E-13</v>
      </c>
      <c r="FF171" s="18">
        <f>FE171*VLOOKUP('Données projet'!$B$16,Paramètres!$A$1:$I$89,3,0)*VLOOKUP('Données projet'!$B$16,Paramètres!$A$1:$I$89,5,0)</f>
        <v>1.4897523215040567E-13</v>
      </c>
      <c r="FG171" s="14">
        <f t="shared" si="182"/>
        <v>2.136562777003313E-12</v>
      </c>
      <c r="FH171" s="22">
        <f t="shared" si="183"/>
        <v>3.9806453659427267E-12</v>
      </c>
      <c r="FI171" s="60">
        <f t="shared" si="131"/>
        <v>293.33333333333729</v>
      </c>
      <c r="FJ171" s="60">
        <f ca="1">AVERAGE(OFFSET($FI$3,0,0,'Données projet'!$E$16+1,1))-AVERAGE(OFFSET($H$3,0,0,'Données projet'!$E$16+1,1))</f>
        <v>274.38315511766132</v>
      </c>
      <c r="FK171" s="60">
        <f t="shared" si="156"/>
        <v>255.96663040027175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-1.1368683772161603E-13</v>
      </c>
      <c r="GA171" s="18">
        <f>FZ171*VLOOKUP('Données projet'!$B$17,Paramètres!$A$1:$I$89,3,0)*VLOOKUP('Données projet'!$B$17,Paramètres!$A$1:$I$89,5,0)</f>
        <v>-9.7543306765146564E-14</v>
      </c>
      <c r="GB171" s="14" t="e">
        <f t="shared" si="185"/>
        <v>#NUM!</v>
      </c>
      <c r="GC171" s="22" t="e">
        <f t="shared" si="186"/>
        <v>#NUM!</v>
      </c>
      <c r="GD171" s="60" t="e">
        <f t="shared" si="134"/>
        <v>#NUM!</v>
      </c>
      <c r="GE171" s="60">
        <f ca="1">AVERAGE(OFFSET($GD$3,0,0,'Données projet'!$E$17+1,1))-AVERAGE(OFFSET($H$3,0,0,'Données projet'!$E$17+1,1))</f>
        <v>445.81166342116865</v>
      </c>
      <c r="GF171" s="60">
        <f t="shared" si="158"/>
        <v>230.82970731138215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5.6843418860808015E-14</v>
      </c>
      <c r="GV171" s="18">
        <f>GU171*VLOOKUP('Données projet'!$B$18,Paramètres!$A$1:$I$89,3,0)*VLOOKUP('Données projet'!$B$18,Paramètres!$A$1:$I$89,5,0)</f>
        <v>4.4337866711430253E-14</v>
      </c>
      <c r="GW171" s="14">
        <f t="shared" si="188"/>
        <v>7.3222115536967035E-13</v>
      </c>
      <c r="GX171" s="22">
        <f t="shared" si="189"/>
        <v>1.3525069634579169E-12</v>
      </c>
      <c r="GY171" s="60">
        <f t="shared" si="137"/>
        <v>293.33333333333468</v>
      </c>
      <c r="GZ171" s="60">
        <f ca="1">AVERAGE(OFFSET($GY$3,0,0,'Données projet'!$E$18+1,1))-AVERAGE(OFFSET($H$3,0,0,'Données projet'!$E$18+1,1))</f>
        <v>289.19475369871481</v>
      </c>
      <c r="HA171" s="60">
        <f t="shared" si="160"/>
        <v>283.48738729114024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projet'!$B$18,Paramètres!$A$1:$I$89,3,0)*0.475*44/12</f>
        <v>0</v>
      </c>
      <c r="HH171" s="23">
        <f>EXP(-LN(2)/25)*HH170+(1-EXP(-LN(2)/25))/(LN(2)/25)*Calculateur!HC171*Calculateur!HE171*VLOOKUP('Données projet'!$B$18,Paramètres!$A$1:$I$89,3,0)*0.475*44/12</f>
        <v>0</v>
      </c>
      <c r="HI171" s="23">
        <f>EXP(-LN(2)/2)*HI170+(1-EXP(-LN(2)/2))/(LN(2)/2)*HC171*HF171*VLOOKUP('Données projet'!$B$18,Paramètres!$A$1:$I$89,3,0)*0.475*44/12</f>
        <v>0</v>
      </c>
      <c r="HJ171" s="24">
        <f t="shared" si="190"/>
        <v>0</v>
      </c>
    </row>
    <row r="172" spans="1:218" x14ac:dyDescent="0.3">
      <c r="A172" s="11">
        <f t="shared" si="161"/>
        <v>169</v>
      </c>
      <c r="B172" s="75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8">
        <f t="shared" si="110"/>
        <v>256.66666666666669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-9.0949470177292824E-13</v>
      </c>
      <c r="O172" s="14">
        <f>N172*VLOOKUP('Données projet'!$B$9,Paramètres!$A$1:$I$89,3,0)*VLOOKUP('Données projet'!$B$9,Paramètres!$A$1:$I$89,5,0)</f>
        <v>-8.7966327555477625E-13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456.86147223520601</v>
      </c>
      <c r="T172" s="60">
        <f t="shared" si="142"/>
        <v>244.45149244446094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2.5579538487363607E-13</v>
      </c>
      <c r="AJ172" s="14">
        <f>AI172*VLOOKUP('Données projet'!$B$10,Paramètres!$A$1:$I$89,3,0)*VLOOKUP('Données projet'!$B$10,Paramètres!$A$1:$I$89,5,0)</f>
        <v>1.6759713616920635E-13</v>
      </c>
      <c r="AK172" s="14">
        <f t="shared" si="164"/>
        <v>2.3709043131075133E-12</v>
      </c>
      <c r="AL172" s="22">
        <f t="shared" si="165"/>
        <v>4.4212233574902864E-12</v>
      </c>
      <c r="AM172" s="60">
        <f t="shared" si="113"/>
        <v>293.33333333333775</v>
      </c>
      <c r="AN172" s="60">
        <f ca="1">AVERAGE(OFFSET($AM$3,0,0,'Données projet'!$E$10+1,1))-AVERAGE(OFFSET($H$3,0,0,'Données projet'!$E$10+1,1))</f>
        <v>170.79567854714986</v>
      </c>
      <c r="AO172" s="60">
        <f t="shared" si="144"/>
        <v>155.92788004111191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-1.1368683772161603E-13</v>
      </c>
      <c r="BE172" s="14">
        <f>BD172*VLOOKUP('Données projet'!$B$11,Paramètres!$A$1:$I$89,3,0)*VLOOKUP('Données projet'!$B$11,Paramètres!$A$1:$I$89,5,0)</f>
        <v>-9.2222762759774927E-14</v>
      </c>
      <c r="BF172" s="14" t="e">
        <f t="shared" si="167"/>
        <v>#NUM!</v>
      </c>
      <c r="BG172" s="22" t="e">
        <f t="shared" si="168"/>
        <v>#NUM!</v>
      </c>
      <c r="BH172" s="60" t="e">
        <f t="shared" si="116"/>
        <v>#NUM!</v>
      </c>
      <c r="BI172" s="60">
        <f ca="1">AVERAGE(OFFSET($BH$3,0,0,'Données projet'!$E$11+1,1))-AVERAGE(OFFSET($H$3,0,0,'Données projet'!$E$11+1,1))</f>
        <v>256.19915261735281</v>
      </c>
      <c r="BJ172" s="60">
        <f t="shared" si="146"/>
        <v>297.47246687305056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-5.6843418860808015E-14</v>
      </c>
      <c r="BZ172" s="14">
        <f>BY172*VLOOKUP('Données projet'!$B$12,Paramètres!$A$1:$I$89,3,0)*VLOOKUP('Données projet'!$B$12,Paramètres!$A$1:$I$89,5,0)</f>
        <v>-5.4092197387944907E-14</v>
      </c>
      <c r="CA172" s="14" t="e">
        <f t="shared" si="170"/>
        <v>#NUM!</v>
      </c>
      <c r="CB172" s="22" t="e">
        <f t="shared" si="171"/>
        <v>#NUM!</v>
      </c>
      <c r="CC172" s="60" t="e">
        <f t="shared" si="119"/>
        <v>#NUM!</v>
      </c>
      <c r="CD172" s="60">
        <f ca="1">AVERAGE(OFFSET($CC$3,0,0,'Données projet'!$E$12+1,1))-AVERAGE(OFFSET($H$3,0,0,'Données projet'!$E$12+1,1))</f>
        <v>353.53401919391234</v>
      </c>
      <c r="CE172" s="60">
        <f t="shared" si="148"/>
        <v>244.7141066773861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-9.0949470177292824E-13</v>
      </c>
      <c r="CU172" s="18">
        <f>CT172*VLOOKUP('Données projet'!$B$13,Paramètres!$A$1:$I$89,3,0)*VLOOKUP('Données projet'!$B$13,Paramètres!$A$1:$I$89,5,0)</f>
        <v>-7.6615833677351478E-13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403.33327536410098</v>
      </c>
      <c r="CZ172" s="60">
        <f t="shared" si="150"/>
        <v>218.26721063098552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3.4106051316484809E-13</v>
      </c>
      <c r="DP172" s="18">
        <f>DO172*VLOOKUP('Données projet'!$B$14,Paramètres!$A$1:$I$89,3,0)*VLOOKUP('Données projet'!$B$14,Paramètres!$A$1:$I$89,5,0)</f>
        <v>2.7134774427395314E-13</v>
      </c>
      <c r="DQ172" s="14">
        <f t="shared" si="176"/>
        <v>3.6292411711343559E-12</v>
      </c>
      <c r="DR172" s="22">
        <f t="shared" si="177"/>
        <v>6.7935256943361388E-12</v>
      </c>
      <c r="DS172" s="60">
        <f t="shared" si="125"/>
        <v>293.33333333334014</v>
      </c>
      <c r="DT172" s="60">
        <f ca="1">AVERAGE(OFFSET($DS$3,0,0,'Données projet'!$E$14+1,1))-AVERAGE(OFFSET($H$3,0,0,'Données projet'!$E$14+1,1))</f>
        <v>317.13087551964747</v>
      </c>
      <c r="DU172" s="60">
        <f t="shared" si="152"/>
        <v>293.43300041793185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1.7053025658242404E-13</v>
      </c>
      <c r="EK172" s="18">
        <f>EJ172*VLOOKUP('Données projet'!$B$15,Paramètres!$A$1:$I$89,3,0)*VLOOKUP('Données projet'!$B$15,Paramètres!$A$1:$I$89,5,0)</f>
        <v>1.3567387213697657E-13</v>
      </c>
      <c r="EL172" s="14">
        <f t="shared" si="179"/>
        <v>1.9670967679808581E-12</v>
      </c>
      <c r="EM172" s="22">
        <f t="shared" si="180"/>
        <v>3.6623255315385623E-12</v>
      </c>
      <c r="EN172" s="60">
        <f t="shared" si="128"/>
        <v>293.33333333333695</v>
      </c>
      <c r="EO172" s="60">
        <f ca="1">AVERAGE(OFFSET($EN$3,0,0,'Données projet'!$E$15+1,1))-AVERAGE(OFFSET($H$3,0,0,'Données projet'!$E$15+1,1))</f>
        <v>253.03289960511904</v>
      </c>
      <c r="EP172" s="60">
        <f t="shared" si="154"/>
        <v>236.85088713056018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1.7053025658242404E-13</v>
      </c>
      <c r="FF172" s="18">
        <f>FE172*VLOOKUP('Données projet'!$B$16,Paramètres!$A$1:$I$89,3,0)*VLOOKUP('Données projet'!$B$16,Paramètres!$A$1:$I$89,5,0)</f>
        <v>1.4897523215040567E-13</v>
      </c>
      <c r="FG172" s="14">
        <f t="shared" si="182"/>
        <v>2.136562777003313E-12</v>
      </c>
      <c r="FH172" s="22">
        <f t="shared" si="183"/>
        <v>3.9806453659427267E-12</v>
      </c>
      <c r="FI172" s="60">
        <f t="shared" si="131"/>
        <v>293.33333333333729</v>
      </c>
      <c r="FJ172" s="60">
        <f ca="1">AVERAGE(OFFSET($FI$3,0,0,'Données projet'!$E$16+1,1))-AVERAGE(OFFSET($H$3,0,0,'Données projet'!$E$16+1,1))</f>
        <v>274.38315511766132</v>
      </c>
      <c r="FK172" s="60">
        <f t="shared" si="156"/>
        <v>255.96663040027175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-1.1368683772161603E-13</v>
      </c>
      <c r="GA172" s="18">
        <f>FZ172*VLOOKUP('Données projet'!$B$17,Paramètres!$A$1:$I$89,3,0)*VLOOKUP('Données projet'!$B$17,Paramètres!$A$1:$I$89,5,0)</f>
        <v>-9.7543306765146564E-14</v>
      </c>
      <c r="GB172" s="14" t="e">
        <f t="shared" si="185"/>
        <v>#NUM!</v>
      </c>
      <c r="GC172" s="22" t="e">
        <f t="shared" si="186"/>
        <v>#NUM!</v>
      </c>
      <c r="GD172" s="60" t="e">
        <f t="shared" si="134"/>
        <v>#NUM!</v>
      </c>
      <c r="GE172" s="60">
        <f ca="1">AVERAGE(OFFSET($GD$3,0,0,'Données projet'!$E$17+1,1))-AVERAGE(OFFSET($H$3,0,0,'Données projet'!$E$17+1,1))</f>
        <v>445.81166342116865</v>
      </c>
      <c r="GF172" s="60">
        <f t="shared" si="158"/>
        <v>230.82970731138215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5.6843418860808015E-14</v>
      </c>
      <c r="GV172" s="18">
        <f>GU172*VLOOKUP('Données projet'!$B$18,Paramètres!$A$1:$I$89,3,0)*VLOOKUP('Données projet'!$B$18,Paramètres!$A$1:$I$89,5,0)</f>
        <v>4.4337866711430253E-14</v>
      </c>
      <c r="GW172" s="14">
        <f t="shared" si="188"/>
        <v>7.3222115536967035E-13</v>
      </c>
      <c r="GX172" s="22">
        <f t="shared" si="189"/>
        <v>1.3525069634579169E-12</v>
      </c>
      <c r="GY172" s="60">
        <f t="shared" si="137"/>
        <v>293.33333333333468</v>
      </c>
      <c r="GZ172" s="60">
        <f ca="1">AVERAGE(OFFSET($GY$3,0,0,'Données projet'!$E$18+1,1))-AVERAGE(OFFSET($H$3,0,0,'Données projet'!$E$18+1,1))</f>
        <v>289.19475369871481</v>
      </c>
      <c r="HA172" s="60">
        <f t="shared" si="160"/>
        <v>283.48738729114024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projet'!$B$18,Paramètres!$A$1:$I$89,3,0)*0.475*44/12</f>
        <v>0</v>
      </c>
      <c r="HH172" s="23">
        <f>EXP(-LN(2)/25)*HH171+(1-EXP(-LN(2)/25))/(LN(2)/25)*Calculateur!HC172*Calculateur!HE172*VLOOKUP('Données projet'!$B$18,Paramètres!$A$1:$I$89,3,0)*0.475*44/12</f>
        <v>0</v>
      </c>
      <c r="HI172" s="23">
        <f>EXP(-LN(2)/2)*HI171+(1-EXP(-LN(2)/2))/(LN(2)/2)*HC172*HF172*VLOOKUP('Données projet'!$B$18,Paramètres!$A$1:$I$89,3,0)*0.475*44/12</f>
        <v>0</v>
      </c>
      <c r="HJ172" s="24">
        <f t="shared" si="190"/>
        <v>0</v>
      </c>
    </row>
    <row r="173" spans="1:218" x14ac:dyDescent="0.3">
      <c r="A173" s="11">
        <f t="shared" si="161"/>
        <v>170</v>
      </c>
      <c r="B173" s="75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8">
        <f t="shared" si="110"/>
        <v>256.66666666666669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-9.0949470177292824E-13</v>
      </c>
      <c r="O173" s="14">
        <f>N173*VLOOKUP('Données projet'!$B$9,Paramètres!$A$1:$I$89,3,0)*VLOOKUP('Données projet'!$B$9,Paramètres!$A$1:$I$89,5,0)</f>
        <v>-8.7966327555477625E-13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456.86147223520601</v>
      </c>
      <c r="T173" s="60">
        <f t="shared" si="142"/>
        <v>244.45149244446094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2.5579538487363607E-13</v>
      </c>
      <c r="AJ173" s="14">
        <f>AI173*VLOOKUP('Données projet'!$B$10,Paramètres!$A$1:$I$89,3,0)*VLOOKUP('Données projet'!$B$10,Paramètres!$A$1:$I$89,5,0)</f>
        <v>1.6759713616920635E-13</v>
      </c>
      <c r="AK173" s="14">
        <f t="shared" si="164"/>
        <v>2.3709043131075133E-12</v>
      </c>
      <c r="AL173" s="22">
        <f t="shared" si="165"/>
        <v>4.4212233574902864E-12</v>
      </c>
      <c r="AM173" s="60">
        <f t="shared" si="113"/>
        <v>293.33333333333775</v>
      </c>
      <c r="AN173" s="60">
        <f ca="1">AVERAGE(OFFSET($AM$3,0,0,'Données projet'!$E$10+1,1))-AVERAGE(OFFSET($H$3,0,0,'Données projet'!$E$10+1,1))</f>
        <v>170.79567854714986</v>
      </c>
      <c r="AO173" s="60">
        <f t="shared" si="144"/>
        <v>155.92788004111191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-1.1368683772161603E-13</v>
      </c>
      <c r="BE173" s="14">
        <f>BD173*VLOOKUP('Données projet'!$B$11,Paramètres!$A$1:$I$89,3,0)*VLOOKUP('Données projet'!$B$11,Paramètres!$A$1:$I$89,5,0)</f>
        <v>-9.2222762759774927E-14</v>
      </c>
      <c r="BF173" s="14" t="e">
        <f t="shared" si="167"/>
        <v>#NUM!</v>
      </c>
      <c r="BG173" s="22" t="e">
        <f t="shared" si="168"/>
        <v>#NUM!</v>
      </c>
      <c r="BH173" s="60" t="e">
        <f t="shared" si="116"/>
        <v>#NUM!</v>
      </c>
      <c r="BI173" s="60">
        <f ca="1">AVERAGE(OFFSET($BH$3,0,0,'Données projet'!$E$11+1,1))-AVERAGE(OFFSET($H$3,0,0,'Données projet'!$E$11+1,1))</f>
        <v>256.19915261735281</v>
      </c>
      <c r="BJ173" s="60">
        <f t="shared" si="146"/>
        <v>297.47246687305056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-5.6843418860808015E-14</v>
      </c>
      <c r="BZ173" s="14">
        <f>BY173*VLOOKUP('Données projet'!$B$12,Paramètres!$A$1:$I$89,3,0)*VLOOKUP('Données projet'!$B$12,Paramètres!$A$1:$I$89,5,0)</f>
        <v>-5.4092197387944907E-14</v>
      </c>
      <c r="CA173" s="14" t="e">
        <f t="shared" si="170"/>
        <v>#NUM!</v>
      </c>
      <c r="CB173" s="22" t="e">
        <f t="shared" si="171"/>
        <v>#NUM!</v>
      </c>
      <c r="CC173" s="60" t="e">
        <f t="shared" si="119"/>
        <v>#NUM!</v>
      </c>
      <c r="CD173" s="60">
        <f ca="1">AVERAGE(OFFSET($CC$3,0,0,'Données projet'!$E$12+1,1))-AVERAGE(OFFSET($H$3,0,0,'Données projet'!$E$12+1,1))</f>
        <v>353.53401919391234</v>
      </c>
      <c r="CE173" s="60">
        <f t="shared" si="148"/>
        <v>244.7141066773861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-9.0949470177292824E-13</v>
      </c>
      <c r="CU173" s="18">
        <f>CT173*VLOOKUP('Données projet'!$B$13,Paramètres!$A$1:$I$89,3,0)*VLOOKUP('Données projet'!$B$13,Paramètres!$A$1:$I$89,5,0)</f>
        <v>-7.6615833677351478E-13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403.33327536410098</v>
      </c>
      <c r="CZ173" s="60">
        <f t="shared" si="150"/>
        <v>218.26721063098552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3.4106051316484809E-13</v>
      </c>
      <c r="DP173" s="18">
        <f>DO173*VLOOKUP('Données projet'!$B$14,Paramètres!$A$1:$I$89,3,0)*VLOOKUP('Données projet'!$B$14,Paramètres!$A$1:$I$89,5,0)</f>
        <v>2.7134774427395314E-13</v>
      </c>
      <c r="DQ173" s="14">
        <f t="shared" si="176"/>
        <v>3.6292411711343559E-12</v>
      </c>
      <c r="DR173" s="22">
        <f t="shared" si="177"/>
        <v>6.7935256943361388E-12</v>
      </c>
      <c r="DS173" s="60">
        <f t="shared" si="125"/>
        <v>293.33333333334014</v>
      </c>
      <c r="DT173" s="60">
        <f ca="1">AVERAGE(OFFSET($DS$3,0,0,'Données projet'!$E$14+1,1))-AVERAGE(OFFSET($H$3,0,0,'Données projet'!$E$14+1,1))</f>
        <v>317.13087551964747</v>
      </c>
      <c r="DU173" s="60">
        <f t="shared" si="152"/>
        <v>293.43300041793185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1.7053025658242404E-13</v>
      </c>
      <c r="EK173" s="18">
        <f>EJ173*VLOOKUP('Données projet'!$B$15,Paramètres!$A$1:$I$89,3,0)*VLOOKUP('Données projet'!$B$15,Paramètres!$A$1:$I$89,5,0)</f>
        <v>1.3567387213697657E-13</v>
      </c>
      <c r="EL173" s="14">
        <f t="shared" si="179"/>
        <v>1.9670967679808581E-12</v>
      </c>
      <c r="EM173" s="22">
        <f t="shared" si="180"/>
        <v>3.6623255315385623E-12</v>
      </c>
      <c r="EN173" s="60">
        <f t="shared" si="128"/>
        <v>293.33333333333695</v>
      </c>
      <c r="EO173" s="60">
        <f ca="1">AVERAGE(OFFSET($EN$3,0,0,'Données projet'!$E$15+1,1))-AVERAGE(OFFSET($H$3,0,0,'Données projet'!$E$15+1,1))</f>
        <v>253.03289960511904</v>
      </c>
      <c r="EP173" s="60">
        <f t="shared" si="154"/>
        <v>236.85088713056018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1.7053025658242404E-13</v>
      </c>
      <c r="FF173" s="18">
        <f>FE173*VLOOKUP('Données projet'!$B$16,Paramètres!$A$1:$I$89,3,0)*VLOOKUP('Données projet'!$B$16,Paramètres!$A$1:$I$89,5,0)</f>
        <v>1.4897523215040567E-13</v>
      </c>
      <c r="FG173" s="14">
        <f t="shared" si="182"/>
        <v>2.136562777003313E-12</v>
      </c>
      <c r="FH173" s="22">
        <f t="shared" si="183"/>
        <v>3.9806453659427267E-12</v>
      </c>
      <c r="FI173" s="60">
        <f t="shared" si="131"/>
        <v>293.33333333333729</v>
      </c>
      <c r="FJ173" s="60">
        <f ca="1">AVERAGE(OFFSET($FI$3,0,0,'Données projet'!$E$16+1,1))-AVERAGE(OFFSET($H$3,0,0,'Données projet'!$E$16+1,1))</f>
        <v>274.38315511766132</v>
      </c>
      <c r="FK173" s="60">
        <f t="shared" si="156"/>
        <v>255.96663040027175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-1.1368683772161603E-13</v>
      </c>
      <c r="GA173" s="18">
        <f>FZ173*VLOOKUP('Données projet'!$B$17,Paramètres!$A$1:$I$89,3,0)*VLOOKUP('Données projet'!$B$17,Paramètres!$A$1:$I$89,5,0)</f>
        <v>-9.7543306765146564E-14</v>
      </c>
      <c r="GB173" s="14" t="e">
        <f t="shared" si="185"/>
        <v>#NUM!</v>
      </c>
      <c r="GC173" s="22" t="e">
        <f t="shared" si="186"/>
        <v>#NUM!</v>
      </c>
      <c r="GD173" s="60" t="e">
        <f t="shared" si="134"/>
        <v>#NUM!</v>
      </c>
      <c r="GE173" s="60">
        <f ca="1">AVERAGE(OFFSET($GD$3,0,0,'Données projet'!$E$17+1,1))-AVERAGE(OFFSET($H$3,0,0,'Données projet'!$E$17+1,1))</f>
        <v>445.81166342116865</v>
      </c>
      <c r="GF173" s="60">
        <f t="shared" si="158"/>
        <v>230.82970731138215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5.6843418860808015E-14</v>
      </c>
      <c r="GV173" s="18">
        <f>GU173*VLOOKUP('Données projet'!$B$18,Paramètres!$A$1:$I$89,3,0)*VLOOKUP('Données projet'!$B$18,Paramètres!$A$1:$I$89,5,0)</f>
        <v>4.4337866711430253E-14</v>
      </c>
      <c r="GW173" s="14">
        <f t="shared" si="188"/>
        <v>7.3222115536967035E-13</v>
      </c>
      <c r="GX173" s="22">
        <f t="shared" si="189"/>
        <v>1.3525069634579169E-12</v>
      </c>
      <c r="GY173" s="60">
        <f t="shared" si="137"/>
        <v>293.33333333333468</v>
      </c>
      <c r="GZ173" s="60">
        <f ca="1">AVERAGE(OFFSET($GY$3,0,0,'Données projet'!$E$18+1,1))-AVERAGE(OFFSET($H$3,0,0,'Données projet'!$E$18+1,1))</f>
        <v>289.19475369871481</v>
      </c>
      <c r="HA173" s="60">
        <f t="shared" si="160"/>
        <v>283.48738729114024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projet'!$B$18,Paramètres!$A$1:$I$89,3,0)*0.475*44/12</f>
        <v>0</v>
      </c>
      <c r="HH173" s="23">
        <f>EXP(-LN(2)/25)*HH172+(1-EXP(-LN(2)/25))/(LN(2)/25)*Calculateur!HC173*Calculateur!HE173*VLOOKUP('Données projet'!$B$18,Paramètres!$A$1:$I$89,3,0)*0.475*44/12</f>
        <v>0</v>
      </c>
      <c r="HI173" s="23">
        <f>EXP(-LN(2)/2)*HI172+(1-EXP(-LN(2)/2))/(LN(2)/2)*HC173*HF173*VLOOKUP('Données projet'!$B$18,Paramètres!$A$1:$I$89,3,0)*0.475*44/12</f>
        <v>0</v>
      </c>
      <c r="HJ173" s="24">
        <f t="shared" si="190"/>
        <v>0</v>
      </c>
    </row>
    <row r="174" spans="1:218" x14ac:dyDescent="0.3">
      <c r="A174" s="11">
        <f t="shared" si="161"/>
        <v>171</v>
      </c>
      <c r="B174" s="75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8">
        <f t="shared" si="110"/>
        <v>256.66666666666669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-9.0949470177292824E-13</v>
      </c>
      <c r="O174" s="14">
        <f>N174*VLOOKUP('Données projet'!$B$9,Paramètres!$A$1:$I$89,3,0)*VLOOKUP('Données projet'!$B$9,Paramètres!$A$1:$I$89,5,0)</f>
        <v>-8.7966327555477625E-13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456.86147223520601</v>
      </c>
      <c r="T174" s="60">
        <f t="shared" si="142"/>
        <v>244.45149244446094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2.5579538487363607E-13</v>
      </c>
      <c r="AJ174" s="14">
        <f>AI174*VLOOKUP('Données projet'!$B$10,Paramètres!$A$1:$I$89,3,0)*VLOOKUP('Données projet'!$B$10,Paramètres!$A$1:$I$89,5,0)</f>
        <v>1.6759713616920635E-13</v>
      </c>
      <c r="AK174" s="14">
        <f t="shared" si="164"/>
        <v>2.3709043131075133E-12</v>
      </c>
      <c r="AL174" s="22">
        <f t="shared" si="165"/>
        <v>4.4212233574902864E-12</v>
      </c>
      <c r="AM174" s="60">
        <f t="shared" si="113"/>
        <v>293.33333333333775</v>
      </c>
      <c r="AN174" s="60">
        <f ca="1">AVERAGE(OFFSET($AM$3,0,0,'Données projet'!$E$10+1,1))-AVERAGE(OFFSET($H$3,0,0,'Données projet'!$E$10+1,1))</f>
        <v>170.79567854714986</v>
      </c>
      <c r="AO174" s="60">
        <f t="shared" si="144"/>
        <v>155.92788004111191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-1.1368683772161603E-13</v>
      </c>
      <c r="BE174" s="14">
        <f>BD174*VLOOKUP('Données projet'!$B$11,Paramètres!$A$1:$I$89,3,0)*VLOOKUP('Données projet'!$B$11,Paramètres!$A$1:$I$89,5,0)</f>
        <v>-9.2222762759774927E-14</v>
      </c>
      <c r="BF174" s="14" t="e">
        <f t="shared" si="167"/>
        <v>#NUM!</v>
      </c>
      <c r="BG174" s="22" t="e">
        <f t="shared" si="168"/>
        <v>#NUM!</v>
      </c>
      <c r="BH174" s="60" t="e">
        <f t="shared" si="116"/>
        <v>#NUM!</v>
      </c>
      <c r="BI174" s="60">
        <f ca="1">AVERAGE(OFFSET($BH$3,0,0,'Données projet'!$E$11+1,1))-AVERAGE(OFFSET($H$3,0,0,'Données projet'!$E$11+1,1))</f>
        <v>256.19915261735281</v>
      </c>
      <c r="BJ174" s="60">
        <f t="shared" si="146"/>
        <v>297.47246687305056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-5.6843418860808015E-14</v>
      </c>
      <c r="BZ174" s="14">
        <f>BY174*VLOOKUP('Données projet'!$B$12,Paramètres!$A$1:$I$89,3,0)*VLOOKUP('Données projet'!$B$12,Paramètres!$A$1:$I$89,5,0)</f>
        <v>-5.4092197387944907E-14</v>
      </c>
      <c r="CA174" s="14" t="e">
        <f t="shared" si="170"/>
        <v>#NUM!</v>
      </c>
      <c r="CB174" s="22" t="e">
        <f t="shared" si="171"/>
        <v>#NUM!</v>
      </c>
      <c r="CC174" s="60" t="e">
        <f t="shared" si="119"/>
        <v>#NUM!</v>
      </c>
      <c r="CD174" s="60">
        <f ca="1">AVERAGE(OFFSET($CC$3,0,0,'Données projet'!$E$12+1,1))-AVERAGE(OFFSET($H$3,0,0,'Données projet'!$E$12+1,1))</f>
        <v>353.53401919391234</v>
      </c>
      <c r="CE174" s="60">
        <f t="shared" si="148"/>
        <v>244.7141066773861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-9.0949470177292824E-13</v>
      </c>
      <c r="CU174" s="18">
        <f>CT174*VLOOKUP('Données projet'!$B$13,Paramètres!$A$1:$I$89,3,0)*VLOOKUP('Données projet'!$B$13,Paramètres!$A$1:$I$89,5,0)</f>
        <v>-7.6615833677351478E-13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403.33327536410098</v>
      </c>
      <c r="CZ174" s="60">
        <f t="shared" si="150"/>
        <v>218.26721063098552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3.4106051316484809E-13</v>
      </c>
      <c r="DP174" s="18">
        <f>DO174*VLOOKUP('Données projet'!$B$14,Paramètres!$A$1:$I$89,3,0)*VLOOKUP('Données projet'!$B$14,Paramètres!$A$1:$I$89,5,0)</f>
        <v>2.7134774427395314E-13</v>
      </c>
      <c r="DQ174" s="14">
        <f t="shared" si="176"/>
        <v>3.6292411711343559E-12</v>
      </c>
      <c r="DR174" s="22">
        <f t="shared" si="177"/>
        <v>6.7935256943361388E-12</v>
      </c>
      <c r="DS174" s="60">
        <f t="shared" si="125"/>
        <v>293.33333333334014</v>
      </c>
      <c r="DT174" s="60">
        <f ca="1">AVERAGE(OFFSET($DS$3,0,0,'Données projet'!$E$14+1,1))-AVERAGE(OFFSET($H$3,0,0,'Données projet'!$E$14+1,1))</f>
        <v>317.13087551964747</v>
      </c>
      <c r="DU174" s="60">
        <f t="shared" si="152"/>
        <v>293.43300041793185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1.7053025658242404E-13</v>
      </c>
      <c r="EK174" s="18">
        <f>EJ174*VLOOKUP('Données projet'!$B$15,Paramètres!$A$1:$I$89,3,0)*VLOOKUP('Données projet'!$B$15,Paramètres!$A$1:$I$89,5,0)</f>
        <v>1.3567387213697657E-13</v>
      </c>
      <c r="EL174" s="14">
        <f t="shared" si="179"/>
        <v>1.9670967679808581E-12</v>
      </c>
      <c r="EM174" s="22">
        <f t="shared" si="180"/>
        <v>3.6623255315385623E-12</v>
      </c>
      <c r="EN174" s="60">
        <f t="shared" si="128"/>
        <v>293.33333333333695</v>
      </c>
      <c r="EO174" s="60">
        <f ca="1">AVERAGE(OFFSET($EN$3,0,0,'Données projet'!$E$15+1,1))-AVERAGE(OFFSET($H$3,0,0,'Données projet'!$E$15+1,1))</f>
        <v>253.03289960511904</v>
      </c>
      <c r="EP174" s="60">
        <f t="shared" si="154"/>
        <v>236.85088713056018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1.7053025658242404E-13</v>
      </c>
      <c r="FF174" s="18">
        <f>FE174*VLOOKUP('Données projet'!$B$16,Paramètres!$A$1:$I$89,3,0)*VLOOKUP('Données projet'!$B$16,Paramètres!$A$1:$I$89,5,0)</f>
        <v>1.4897523215040567E-13</v>
      </c>
      <c r="FG174" s="14">
        <f t="shared" si="182"/>
        <v>2.136562777003313E-12</v>
      </c>
      <c r="FH174" s="22">
        <f t="shared" si="183"/>
        <v>3.9806453659427267E-12</v>
      </c>
      <c r="FI174" s="60">
        <f t="shared" si="131"/>
        <v>293.33333333333729</v>
      </c>
      <c r="FJ174" s="60">
        <f ca="1">AVERAGE(OFFSET($FI$3,0,0,'Données projet'!$E$16+1,1))-AVERAGE(OFFSET($H$3,0,0,'Données projet'!$E$16+1,1))</f>
        <v>274.38315511766132</v>
      </c>
      <c r="FK174" s="60">
        <f t="shared" si="156"/>
        <v>255.96663040027175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-1.1368683772161603E-13</v>
      </c>
      <c r="GA174" s="18">
        <f>FZ174*VLOOKUP('Données projet'!$B$17,Paramètres!$A$1:$I$89,3,0)*VLOOKUP('Données projet'!$B$17,Paramètres!$A$1:$I$89,5,0)</f>
        <v>-9.7543306765146564E-14</v>
      </c>
      <c r="GB174" s="14" t="e">
        <f t="shared" si="185"/>
        <v>#NUM!</v>
      </c>
      <c r="GC174" s="22" t="e">
        <f t="shared" si="186"/>
        <v>#NUM!</v>
      </c>
      <c r="GD174" s="60" t="e">
        <f t="shared" si="134"/>
        <v>#NUM!</v>
      </c>
      <c r="GE174" s="60">
        <f ca="1">AVERAGE(OFFSET($GD$3,0,0,'Données projet'!$E$17+1,1))-AVERAGE(OFFSET($H$3,0,0,'Données projet'!$E$17+1,1))</f>
        <v>445.81166342116865</v>
      </c>
      <c r="GF174" s="60">
        <f t="shared" si="158"/>
        <v>230.82970731138215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5.6843418860808015E-14</v>
      </c>
      <c r="GV174" s="18">
        <f>GU174*VLOOKUP('Données projet'!$B$18,Paramètres!$A$1:$I$89,3,0)*VLOOKUP('Données projet'!$B$18,Paramètres!$A$1:$I$89,5,0)</f>
        <v>4.4337866711430253E-14</v>
      </c>
      <c r="GW174" s="14">
        <f t="shared" si="188"/>
        <v>7.3222115536967035E-13</v>
      </c>
      <c r="GX174" s="22">
        <f t="shared" si="189"/>
        <v>1.3525069634579169E-12</v>
      </c>
      <c r="GY174" s="60">
        <f t="shared" si="137"/>
        <v>293.33333333333468</v>
      </c>
      <c r="GZ174" s="60">
        <f ca="1">AVERAGE(OFFSET($GY$3,0,0,'Données projet'!$E$18+1,1))-AVERAGE(OFFSET($H$3,0,0,'Données projet'!$E$18+1,1))</f>
        <v>289.19475369871481</v>
      </c>
      <c r="HA174" s="60">
        <f t="shared" si="160"/>
        <v>283.48738729114024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projet'!$B$18,Paramètres!$A$1:$I$89,3,0)*0.475*44/12</f>
        <v>0</v>
      </c>
      <c r="HH174" s="23">
        <f>EXP(-LN(2)/25)*HH173+(1-EXP(-LN(2)/25))/(LN(2)/25)*Calculateur!HC174*Calculateur!HE174*VLOOKUP('Données projet'!$B$18,Paramètres!$A$1:$I$89,3,0)*0.475*44/12</f>
        <v>0</v>
      </c>
      <c r="HI174" s="23">
        <f>EXP(-LN(2)/2)*HI173+(1-EXP(-LN(2)/2))/(LN(2)/2)*HC174*HF174*VLOOKUP('Données projet'!$B$18,Paramètres!$A$1:$I$89,3,0)*0.475*44/12</f>
        <v>0</v>
      </c>
      <c r="HJ174" s="24">
        <f t="shared" si="190"/>
        <v>0</v>
      </c>
    </row>
    <row r="175" spans="1:218" x14ac:dyDescent="0.3">
      <c r="A175" s="11">
        <f t="shared" si="161"/>
        <v>172</v>
      </c>
      <c r="B175" s="75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8">
        <f t="shared" si="110"/>
        <v>256.66666666666669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-9.0949470177292824E-13</v>
      </c>
      <c r="O175" s="14">
        <f>N175*VLOOKUP('Données projet'!$B$9,Paramètres!$A$1:$I$89,3,0)*VLOOKUP('Données projet'!$B$9,Paramètres!$A$1:$I$89,5,0)</f>
        <v>-8.7966327555477625E-13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456.86147223520601</v>
      </c>
      <c r="T175" s="60">
        <f t="shared" si="142"/>
        <v>244.45149244446094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2.5579538487363607E-13</v>
      </c>
      <c r="AJ175" s="14">
        <f>AI175*VLOOKUP('Données projet'!$B$10,Paramètres!$A$1:$I$89,3,0)*VLOOKUP('Données projet'!$B$10,Paramètres!$A$1:$I$89,5,0)</f>
        <v>1.6759713616920635E-13</v>
      </c>
      <c r="AK175" s="14">
        <f t="shared" si="164"/>
        <v>2.3709043131075133E-12</v>
      </c>
      <c r="AL175" s="22">
        <f t="shared" si="165"/>
        <v>4.4212233574902864E-12</v>
      </c>
      <c r="AM175" s="60">
        <f t="shared" si="113"/>
        <v>293.33333333333775</v>
      </c>
      <c r="AN175" s="60">
        <f ca="1">AVERAGE(OFFSET($AM$3,0,0,'Données projet'!$E$10+1,1))-AVERAGE(OFFSET($H$3,0,0,'Données projet'!$E$10+1,1))</f>
        <v>170.79567854714986</v>
      </c>
      <c r="AO175" s="60">
        <f t="shared" si="144"/>
        <v>155.92788004111191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-1.1368683772161603E-13</v>
      </c>
      <c r="BE175" s="14">
        <f>BD175*VLOOKUP('Données projet'!$B$11,Paramètres!$A$1:$I$89,3,0)*VLOOKUP('Données projet'!$B$11,Paramètres!$A$1:$I$89,5,0)</f>
        <v>-9.2222762759774927E-14</v>
      </c>
      <c r="BF175" s="14" t="e">
        <f t="shared" si="167"/>
        <v>#NUM!</v>
      </c>
      <c r="BG175" s="22" t="e">
        <f t="shared" si="168"/>
        <v>#NUM!</v>
      </c>
      <c r="BH175" s="60" t="e">
        <f t="shared" si="116"/>
        <v>#NUM!</v>
      </c>
      <c r="BI175" s="60">
        <f ca="1">AVERAGE(OFFSET($BH$3,0,0,'Données projet'!$E$11+1,1))-AVERAGE(OFFSET($H$3,0,0,'Données projet'!$E$11+1,1))</f>
        <v>256.19915261735281</v>
      </c>
      <c r="BJ175" s="60">
        <f t="shared" si="146"/>
        <v>297.47246687305056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-5.6843418860808015E-14</v>
      </c>
      <c r="BZ175" s="14">
        <f>BY175*VLOOKUP('Données projet'!$B$12,Paramètres!$A$1:$I$89,3,0)*VLOOKUP('Données projet'!$B$12,Paramètres!$A$1:$I$89,5,0)</f>
        <v>-5.4092197387944907E-14</v>
      </c>
      <c r="CA175" s="14" t="e">
        <f t="shared" si="170"/>
        <v>#NUM!</v>
      </c>
      <c r="CB175" s="22" t="e">
        <f t="shared" si="171"/>
        <v>#NUM!</v>
      </c>
      <c r="CC175" s="60" t="e">
        <f t="shared" si="119"/>
        <v>#NUM!</v>
      </c>
      <c r="CD175" s="60">
        <f ca="1">AVERAGE(OFFSET($CC$3,0,0,'Données projet'!$E$12+1,1))-AVERAGE(OFFSET($H$3,0,0,'Données projet'!$E$12+1,1))</f>
        <v>353.53401919391234</v>
      </c>
      <c r="CE175" s="60">
        <f t="shared" si="148"/>
        <v>244.7141066773861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-9.0949470177292824E-13</v>
      </c>
      <c r="CU175" s="18">
        <f>CT175*VLOOKUP('Données projet'!$B$13,Paramètres!$A$1:$I$89,3,0)*VLOOKUP('Données projet'!$B$13,Paramètres!$A$1:$I$89,5,0)</f>
        <v>-7.6615833677351478E-13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403.33327536410098</v>
      </c>
      <c r="CZ175" s="60">
        <f t="shared" si="150"/>
        <v>218.26721063098552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3.4106051316484809E-13</v>
      </c>
      <c r="DP175" s="18">
        <f>DO175*VLOOKUP('Données projet'!$B$14,Paramètres!$A$1:$I$89,3,0)*VLOOKUP('Données projet'!$B$14,Paramètres!$A$1:$I$89,5,0)</f>
        <v>2.7134774427395314E-13</v>
      </c>
      <c r="DQ175" s="14">
        <f t="shared" si="176"/>
        <v>3.6292411711343559E-12</v>
      </c>
      <c r="DR175" s="22">
        <f t="shared" si="177"/>
        <v>6.7935256943361388E-12</v>
      </c>
      <c r="DS175" s="60">
        <f t="shared" si="125"/>
        <v>293.33333333334014</v>
      </c>
      <c r="DT175" s="60">
        <f ca="1">AVERAGE(OFFSET($DS$3,0,0,'Données projet'!$E$14+1,1))-AVERAGE(OFFSET($H$3,0,0,'Données projet'!$E$14+1,1))</f>
        <v>317.13087551964747</v>
      </c>
      <c r="DU175" s="60">
        <f t="shared" si="152"/>
        <v>293.43300041793185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1.7053025658242404E-13</v>
      </c>
      <c r="EK175" s="18">
        <f>EJ175*VLOOKUP('Données projet'!$B$15,Paramètres!$A$1:$I$89,3,0)*VLOOKUP('Données projet'!$B$15,Paramètres!$A$1:$I$89,5,0)</f>
        <v>1.3567387213697657E-13</v>
      </c>
      <c r="EL175" s="14">
        <f t="shared" si="179"/>
        <v>1.9670967679808581E-12</v>
      </c>
      <c r="EM175" s="22">
        <f t="shared" si="180"/>
        <v>3.6623255315385623E-12</v>
      </c>
      <c r="EN175" s="60">
        <f t="shared" si="128"/>
        <v>293.33333333333695</v>
      </c>
      <c r="EO175" s="60">
        <f ca="1">AVERAGE(OFFSET($EN$3,0,0,'Données projet'!$E$15+1,1))-AVERAGE(OFFSET($H$3,0,0,'Données projet'!$E$15+1,1))</f>
        <v>253.03289960511904</v>
      </c>
      <c r="EP175" s="60">
        <f t="shared" si="154"/>
        <v>236.85088713056018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1.7053025658242404E-13</v>
      </c>
      <c r="FF175" s="18">
        <f>FE175*VLOOKUP('Données projet'!$B$16,Paramètres!$A$1:$I$89,3,0)*VLOOKUP('Données projet'!$B$16,Paramètres!$A$1:$I$89,5,0)</f>
        <v>1.4897523215040567E-13</v>
      </c>
      <c r="FG175" s="14">
        <f t="shared" si="182"/>
        <v>2.136562777003313E-12</v>
      </c>
      <c r="FH175" s="22">
        <f t="shared" si="183"/>
        <v>3.9806453659427267E-12</v>
      </c>
      <c r="FI175" s="60">
        <f t="shared" si="131"/>
        <v>293.33333333333729</v>
      </c>
      <c r="FJ175" s="60">
        <f ca="1">AVERAGE(OFFSET($FI$3,0,0,'Données projet'!$E$16+1,1))-AVERAGE(OFFSET($H$3,0,0,'Données projet'!$E$16+1,1))</f>
        <v>274.38315511766132</v>
      </c>
      <c r="FK175" s="60">
        <f t="shared" si="156"/>
        <v>255.96663040027175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-1.1368683772161603E-13</v>
      </c>
      <c r="GA175" s="18">
        <f>FZ175*VLOOKUP('Données projet'!$B$17,Paramètres!$A$1:$I$89,3,0)*VLOOKUP('Données projet'!$B$17,Paramètres!$A$1:$I$89,5,0)</f>
        <v>-9.7543306765146564E-14</v>
      </c>
      <c r="GB175" s="14" t="e">
        <f t="shared" si="185"/>
        <v>#NUM!</v>
      </c>
      <c r="GC175" s="22" t="e">
        <f t="shared" si="186"/>
        <v>#NUM!</v>
      </c>
      <c r="GD175" s="60" t="e">
        <f t="shared" si="134"/>
        <v>#NUM!</v>
      </c>
      <c r="GE175" s="60">
        <f ca="1">AVERAGE(OFFSET($GD$3,0,0,'Données projet'!$E$17+1,1))-AVERAGE(OFFSET($H$3,0,0,'Données projet'!$E$17+1,1))</f>
        <v>445.81166342116865</v>
      </c>
      <c r="GF175" s="60">
        <f t="shared" si="158"/>
        <v>230.82970731138215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5.6843418860808015E-14</v>
      </c>
      <c r="GV175" s="18">
        <f>GU175*VLOOKUP('Données projet'!$B$18,Paramètres!$A$1:$I$89,3,0)*VLOOKUP('Données projet'!$B$18,Paramètres!$A$1:$I$89,5,0)</f>
        <v>4.4337866711430253E-14</v>
      </c>
      <c r="GW175" s="14">
        <f t="shared" si="188"/>
        <v>7.3222115536967035E-13</v>
      </c>
      <c r="GX175" s="22">
        <f t="shared" si="189"/>
        <v>1.3525069634579169E-12</v>
      </c>
      <c r="GY175" s="60">
        <f t="shared" si="137"/>
        <v>293.33333333333468</v>
      </c>
      <c r="GZ175" s="60">
        <f ca="1">AVERAGE(OFFSET($GY$3,0,0,'Données projet'!$E$18+1,1))-AVERAGE(OFFSET($H$3,0,0,'Données projet'!$E$18+1,1))</f>
        <v>289.19475369871481</v>
      </c>
      <c r="HA175" s="60">
        <f t="shared" si="160"/>
        <v>283.48738729114024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projet'!$B$18,Paramètres!$A$1:$I$89,3,0)*0.475*44/12</f>
        <v>0</v>
      </c>
      <c r="HH175" s="23">
        <f>EXP(-LN(2)/25)*HH174+(1-EXP(-LN(2)/25))/(LN(2)/25)*Calculateur!HC175*Calculateur!HE175*VLOOKUP('Données projet'!$B$18,Paramètres!$A$1:$I$89,3,0)*0.475*44/12</f>
        <v>0</v>
      </c>
      <c r="HI175" s="23">
        <f>EXP(-LN(2)/2)*HI174+(1-EXP(-LN(2)/2))/(LN(2)/2)*HC175*HF175*VLOOKUP('Données projet'!$B$18,Paramètres!$A$1:$I$89,3,0)*0.475*44/12</f>
        <v>0</v>
      </c>
      <c r="HJ175" s="24">
        <f t="shared" si="190"/>
        <v>0</v>
      </c>
    </row>
    <row r="176" spans="1:218" x14ac:dyDescent="0.3">
      <c r="A176" s="11">
        <f t="shared" si="161"/>
        <v>173</v>
      </c>
      <c r="B176" s="75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8">
        <f t="shared" si="110"/>
        <v>256.66666666666669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-9.0949470177292824E-13</v>
      </c>
      <c r="O176" s="14">
        <f>N176*VLOOKUP('Données projet'!$B$9,Paramètres!$A$1:$I$89,3,0)*VLOOKUP('Données projet'!$B$9,Paramètres!$A$1:$I$89,5,0)</f>
        <v>-8.7966327555477625E-13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456.86147223520601</v>
      </c>
      <c r="T176" s="60">
        <f t="shared" si="142"/>
        <v>244.45149244446094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2.5579538487363607E-13</v>
      </c>
      <c r="AJ176" s="14">
        <f>AI176*VLOOKUP('Données projet'!$B$10,Paramètres!$A$1:$I$89,3,0)*VLOOKUP('Données projet'!$B$10,Paramètres!$A$1:$I$89,5,0)</f>
        <v>1.6759713616920635E-13</v>
      </c>
      <c r="AK176" s="14">
        <f t="shared" si="164"/>
        <v>2.3709043131075133E-12</v>
      </c>
      <c r="AL176" s="22">
        <f t="shared" si="165"/>
        <v>4.4212233574902864E-12</v>
      </c>
      <c r="AM176" s="60">
        <f t="shared" si="113"/>
        <v>293.33333333333775</v>
      </c>
      <c r="AN176" s="60">
        <f ca="1">AVERAGE(OFFSET($AM$3,0,0,'Données projet'!$E$10+1,1))-AVERAGE(OFFSET($H$3,0,0,'Données projet'!$E$10+1,1))</f>
        <v>170.79567854714986</v>
      </c>
      <c r="AO176" s="60">
        <f t="shared" si="144"/>
        <v>155.92788004111191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-1.1368683772161603E-13</v>
      </c>
      <c r="BE176" s="14">
        <f>BD176*VLOOKUP('Données projet'!$B$11,Paramètres!$A$1:$I$89,3,0)*VLOOKUP('Données projet'!$B$11,Paramètres!$A$1:$I$89,5,0)</f>
        <v>-9.2222762759774927E-14</v>
      </c>
      <c r="BF176" s="14" t="e">
        <f t="shared" si="167"/>
        <v>#NUM!</v>
      </c>
      <c r="BG176" s="22" t="e">
        <f t="shared" si="168"/>
        <v>#NUM!</v>
      </c>
      <c r="BH176" s="60" t="e">
        <f t="shared" si="116"/>
        <v>#NUM!</v>
      </c>
      <c r="BI176" s="60">
        <f ca="1">AVERAGE(OFFSET($BH$3,0,0,'Données projet'!$E$11+1,1))-AVERAGE(OFFSET($H$3,0,0,'Données projet'!$E$11+1,1))</f>
        <v>256.19915261735281</v>
      </c>
      <c r="BJ176" s="60">
        <f t="shared" si="146"/>
        <v>297.47246687305056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-5.6843418860808015E-14</v>
      </c>
      <c r="BZ176" s="14">
        <f>BY176*VLOOKUP('Données projet'!$B$12,Paramètres!$A$1:$I$89,3,0)*VLOOKUP('Données projet'!$B$12,Paramètres!$A$1:$I$89,5,0)</f>
        <v>-5.4092197387944907E-14</v>
      </c>
      <c r="CA176" s="14" t="e">
        <f t="shared" si="170"/>
        <v>#NUM!</v>
      </c>
      <c r="CB176" s="22" t="e">
        <f t="shared" si="171"/>
        <v>#NUM!</v>
      </c>
      <c r="CC176" s="60" t="e">
        <f t="shared" si="119"/>
        <v>#NUM!</v>
      </c>
      <c r="CD176" s="60">
        <f ca="1">AVERAGE(OFFSET($CC$3,0,0,'Données projet'!$E$12+1,1))-AVERAGE(OFFSET($H$3,0,0,'Données projet'!$E$12+1,1))</f>
        <v>353.53401919391234</v>
      </c>
      <c r="CE176" s="60">
        <f t="shared" si="148"/>
        <v>244.7141066773861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-9.0949470177292824E-13</v>
      </c>
      <c r="CU176" s="18">
        <f>CT176*VLOOKUP('Données projet'!$B$13,Paramètres!$A$1:$I$89,3,0)*VLOOKUP('Données projet'!$B$13,Paramètres!$A$1:$I$89,5,0)</f>
        <v>-7.6615833677351478E-13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403.33327536410098</v>
      </c>
      <c r="CZ176" s="60">
        <f t="shared" si="150"/>
        <v>218.26721063098552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3.4106051316484809E-13</v>
      </c>
      <c r="DP176" s="18">
        <f>DO176*VLOOKUP('Données projet'!$B$14,Paramètres!$A$1:$I$89,3,0)*VLOOKUP('Données projet'!$B$14,Paramètres!$A$1:$I$89,5,0)</f>
        <v>2.7134774427395314E-13</v>
      </c>
      <c r="DQ176" s="14">
        <f t="shared" si="176"/>
        <v>3.6292411711343559E-12</v>
      </c>
      <c r="DR176" s="22">
        <f t="shared" si="177"/>
        <v>6.7935256943361388E-12</v>
      </c>
      <c r="DS176" s="60">
        <f t="shared" si="125"/>
        <v>293.33333333334014</v>
      </c>
      <c r="DT176" s="60">
        <f ca="1">AVERAGE(OFFSET($DS$3,0,0,'Données projet'!$E$14+1,1))-AVERAGE(OFFSET($H$3,0,0,'Données projet'!$E$14+1,1))</f>
        <v>317.13087551964747</v>
      </c>
      <c r="DU176" s="60">
        <f t="shared" si="152"/>
        <v>293.43300041793185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1.7053025658242404E-13</v>
      </c>
      <c r="EK176" s="18">
        <f>EJ176*VLOOKUP('Données projet'!$B$15,Paramètres!$A$1:$I$89,3,0)*VLOOKUP('Données projet'!$B$15,Paramètres!$A$1:$I$89,5,0)</f>
        <v>1.3567387213697657E-13</v>
      </c>
      <c r="EL176" s="14">
        <f t="shared" si="179"/>
        <v>1.9670967679808581E-12</v>
      </c>
      <c r="EM176" s="22">
        <f t="shared" si="180"/>
        <v>3.6623255315385623E-12</v>
      </c>
      <c r="EN176" s="60">
        <f t="shared" si="128"/>
        <v>293.33333333333695</v>
      </c>
      <c r="EO176" s="60">
        <f ca="1">AVERAGE(OFFSET($EN$3,0,0,'Données projet'!$E$15+1,1))-AVERAGE(OFFSET($H$3,0,0,'Données projet'!$E$15+1,1))</f>
        <v>253.03289960511904</v>
      </c>
      <c r="EP176" s="60">
        <f t="shared" si="154"/>
        <v>236.85088713056018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1.7053025658242404E-13</v>
      </c>
      <c r="FF176" s="18">
        <f>FE176*VLOOKUP('Données projet'!$B$16,Paramètres!$A$1:$I$89,3,0)*VLOOKUP('Données projet'!$B$16,Paramètres!$A$1:$I$89,5,0)</f>
        <v>1.4897523215040567E-13</v>
      </c>
      <c r="FG176" s="14">
        <f t="shared" si="182"/>
        <v>2.136562777003313E-12</v>
      </c>
      <c r="FH176" s="22">
        <f t="shared" si="183"/>
        <v>3.9806453659427267E-12</v>
      </c>
      <c r="FI176" s="60">
        <f t="shared" si="131"/>
        <v>293.33333333333729</v>
      </c>
      <c r="FJ176" s="60">
        <f ca="1">AVERAGE(OFFSET($FI$3,0,0,'Données projet'!$E$16+1,1))-AVERAGE(OFFSET($H$3,0,0,'Données projet'!$E$16+1,1))</f>
        <v>274.38315511766132</v>
      </c>
      <c r="FK176" s="60">
        <f t="shared" si="156"/>
        <v>255.96663040027175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-1.1368683772161603E-13</v>
      </c>
      <c r="GA176" s="18">
        <f>FZ176*VLOOKUP('Données projet'!$B$17,Paramètres!$A$1:$I$89,3,0)*VLOOKUP('Données projet'!$B$17,Paramètres!$A$1:$I$89,5,0)</f>
        <v>-9.7543306765146564E-14</v>
      </c>
      <c r="GB176" s="14" t="e">
        <f t="shared" si="185"/>
        <v>#NUM!</v>
      </c>
      <c r="GC176" s="22" t="e">
        <f t="shared" si="186"/>
        <v>#NUM!</v>
      </c>
      <c r="GD176" s="60" t="e">
        <f t="shared" si="134"/>
        <v>#NUM!</v>
      </c>
      <c r="GE176" s="60">
        <f ca="1">AVERAGE(OFFSET($GD$3,0,0,'Données projet'!$E$17+1,1))-AVERAGE(OFFSET($H$3,0,0,'Données projet'!$E$17+1,1))</f>
        <v>445.81166342116865</v>
      </c>
      <c r="GF176" s="60">
        <f t="shared" si="158"/>
        <v>230.82970731138215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5.6843418860808015E-14</v>
      </c>
      <c r="GV176" s="18">
        <f>GU176*VLOOKUP('Données projet'!$B$18,Paramètres!$A$1:$I$89,3,0)*VLOOKUP('Données projet'!$B$18,Paramètres!$A$1:$I$89,5,0)</f>
        <v>4.4337866711430253E-14</v>
      </c>
      <c r="GW176" s="14">
        <f t="shared" si="188"/>
        <v>7.3222115536967035E-13</v>
      </c>
      <c r="GX176" s="22">
        <f t="shared" si="189"/>
        <v>1.3525069634579169E-12</v>
      </c>
      <c r="GY176" s="60">
        <f t="shared" si="137"/>
        <v>293.33333333333468</v>
      </c>
      <c r="GZ176" s="60">
        <f ca="1">AVERAGE(OFFSET($GY$3,0,0,'Données projet'!$E$18+1,1))-AVERAGE(OFFSET($H$3,0,0,'Données projet'!$E$18+1,1))</f>
        <v>289.19475369871481</v>
      </c>
      <c r="HA176" s="60">
        <f t="shared" si="160"/>
        <v>283.48738729114024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projet'!$B$18,Paramètres!$A$1:$I$89,3,0)*0.475*44/12</f>
        <v>0</v>
      </c>
      <c r="HH176" s="23">
        <f>EXP(-LN(2)/25)*HH175+(1-EXP(-LN(2)/25))/(LN(2)/25)*Calculateur!HC176*Calculateur!HE176*VLOOKUP('Données projet'!$B$18,Paramètres!$A$1:$I$89,3,0)*0.475*44/12</f>
        <v>0</v>
      </c>
      <c r="HI176" s="23">
        <f>EXP(-LN(2)/2)*HI175+(1-EXP(-LN(2)/2))/(LN(2)/2)*HC176*HF176*VLOOKUP('Données projet'!$B$18,Paramètres!$A$1:$I$89,3,0)*0.475*44/12</f>
        <v>0</v>
      </c>
      <c r="HJ176" s="24">
        <f t="shared" si="190"/>
        <v>0</v>
      </c>
    </row>
    <row r="177" spans="1:218" x14ac:dyDescent="0.3">
      <c r="A177" s="11">
        <f t="shared" si="161"/>
        <v>174</v>
      </c>
      <c r="B177" s="75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8">
        <f t="shared" si="110"/>
        <v>256.66666666666669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-9.0949470177292824E-13</v>
      </c>
      <c r="O177" s="14">
        <f>N177*VLOOKUP('Données projet'!$B$9,Paramètres!$A$1:$I$89,3,0)*VLOOKUP('Données projet'!$B$9,Paramètres!$A$1:$I$89,5,0)</f>
        <v>-8.7966327555477625E-13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456.86147223520601</v>
      </c>
      <c r="T177" s="60">
        <f t="shared" si="142"/>
        <v>244.45149244446094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2.5579538487363607E-13</v>
      </c>
      <c r="AJ177" s="14">
        <f>AI177*VLOOKUP('Données projet'!$B$10,Paramètres!$A$1:$I$89,3,0)*VLOOKUP('Données projet'!$B$10,Paramètres!$A$1:$I$89,5,0)</f>
        <v>1.6759713616920635E-13</v>
      </c>
      <c r="AK177" s="14">
        <f t="shared" si="164"/>
        <v>2.3709043131075133E-12</v>
      </c>
      <c r="AL177" s="22">
        <f t="shared" si="165"/>
        <v>4.4212233574902864E-12</v>
      </c>
      <c r="AM177" s="60">
        <f t="shared" si="113"/>
        <v>293.33333333333775</v>
      </c>
      <c r="AN177" s="60">
        <f ca="1">AVERAGE(OFFSET($AM$3,0,0,'Données projet'!$E$10+1,1))-AVERAGE(OFFSET($H$3,0,0,'Données projet'!$E$10+1,1))</f>
        <v>170.79567854714986</v>
      </c>
      <c r="AO177" s="60">
        <f t="shared" si="144"/>
        <v>155.92788004111191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-1.1368683772161603E-13</v>
      </c>
      <c r="BE177" s="14">
        <f>BD177*VLOOKUP('Données projet'!$B$11,Paramètres!$A$1:$I$89,3,0)*VLOOKUP('Données projet'!$B$11,Paramètres!$A$1:$I$89,5,0)</f>
        <v>-9.2222762759774927E-14</v>
      </c>
      <c r="BF177" s="14" t="e">
        <f t="shared" si="167"/>
        <v>#NUM!</v>
      </c>
      <c r="BG177" s="22" t="e">
        <f t="shared" si="168"/>
        <v>#NUM!</v>
      </c>
      <c r="BH177" s="60" t="e">
        <f t="shared" si="116"/>
        <v>#NUM!</v>
      </c>
      <c r="BI177" s="60">
        <f ca="1">AVERAGE(OFFSET($BH$3,0,0,'Données projet'!$E$11+1,1))-AVERAGE(OFFSET($H$3,0,0,'Données projet'!$E$11+1,1))</f>
        <v>256.19915261735281</v>
      </c>
      <c r="BJ177" s="60">
        <f t="shared" si="146"/>
        <v>297.47246687305056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-5.6843418860808015E-14</v>
      </c>
      <c r="BZ177" s="14">
        <f>BY177*VLOOKUP('Données projet'!$B$12,Paramètres!$A$1:$I$89,3,0)*VLOOKUP('Données projet'!$B$12,Paramètres!$A$1:$I$89,5,0)</f>
        <v>-5.4092197387944907E-14</v>
      </c>
      <c r="CA177" s="14" t="e">
        <f t="shared" si="170"/>
        <v>#NUM!</v>
      </c>
      <c r="CB177" s="22" t="e">
        <f t="shared" si="171"/>
        <v>#NUM!</v>
      </c>
      <c r="CC177" s="60" t="e">
        <f t="shared" si="119"/>
        <v>#NUM!</v>
      </c>
      <c r="CD177" s="60">
        <f ca="1">AVERAGE(OFFSET($CC$3,0,0,'Données projet'!$E$12+1,1))-AVERAGE(OFFSET($H$3,0,0,'Données projet'!$E$12+1,1))</f>
        <v>353.53401919391234</v>
      </c>
      <c r="CE177" s="60">
        <f t="shared" si="148"/>
        <v>244.7141066773861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-9.0949470177292824E-13</v>
      </c>
      <c r="CU177" s="18">
        <f>CT177*VLOOKUP('Données projet'!$B$13,Paramètres!$A$1:$I$89,3,0)*VLOOKUP('Données projet'!$B$13,Paramètres!$A$1:$I$89,5,0)</f>
        <v>-7.6615833677351478E-13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403.33327536410098</v>
      </c>
      <c r="CZ177" s="60">
        <f t="shared" si="150"/>
        <v>218.26721063098552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3.4106051316484809E-13</v>
      </c>
      <c r="DP177" s="18">
        <f>DO177*VLOOKUP('Données projet'!$B$14,Paramètres!$A$1:$I$89,3,0)*VLOOKUP('Données projet'!$B$14,Paramètres!$A$1:$I$89,5,0)</f>
        <v>2.7134774427395314E-13</v>
      </c>
      <c r="DQ177" s="14">
        <f t="shared" si="176"/>
        <v>3.6292411711343559E-12</v>
      </c>
      <c r="DR177" s="22">
        <f t="shared" si="177"/>
        <v>6.7935256943361388E-12</v>
      </c>
      <c r="DS177" s="60">
        <f t="shared" si="125"/>
        <v>293.33333333334014</v>
      </c>
      <c r="DT177" s="60">
        <f ca="1">AVERAGE(OFFSET($DS$3,0,0,'Données projet'!$E$14+1,1))-AVERAGE(OFFSET($H$3,0,0,'Données projet'!$E$14+1,1))</f>
        <v>317.13087551964747</v>
      </c>
      <c r="DU177" s="60">
        <f t="shared" si="152"/>
        <v>293.43300041793185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1.7053025658242404E-13</v>
      </c>
      <c r="EK177" s="18">
        <f>EJ177*VLOOKUP('Données projet'!$B$15,Paramètres!$A$1:$I$89,3,0)*VLOOKUP('Données projet'!$B$15,Paramètres!$A$1:$I$89,5,0)</f>
        <v>1.3567387213697657E-13</v>
      </c>
      <c r="EL177" s="14">
        <f t="shared" si="179"/>
        <v>1.9670967679808581E-12</v>
      </c>
      <c r="EM177" s="22">
        <f t="shared" si="180"/>
        <v>3.6623255315385623E-12</v>
      </c>
      <c r="EN177" s="60">
        <f t="shared" si="128"/>
        <v>293.33333333333695</v>
      </c>
      <c r="EO177" s="60">
        <f ca="1">AVERAGE(OFFSET($EN$3,0,0,'Données projet'!$E$15+1,1))-AVERAGE(OFFSET($H$3,0,0,'Données projet'!$E$15+1,1))</f>
        <v>253.03289960511904</v>
      </c>
      <c r="EP177" s="60">
        <f t="shared" si="154"/>
        <v>236.85088713056018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1.7053025658242404E-13</v>
      </c>
      <c r="FF177" s="18">
        <f>FE177*VLOOKUP('Données projet'!$B$16,Paramètres!$A$1:$I$89,3,0)*VLOOKUP('Données projet'!$B$16,Paramètres!$A$1:$I$89,5,0)</f>
        <v>1.4897523215040567E-13</v>
      </c>
      <c r="FG177" s="14">
        <f t="shared" si="182"/>
        <v>2.136562777003313E-12</v>
      </c>
      <c r="FH177" s="22">
        <f t="shared" si="183"/>
        <v>3.9806453659427267E-12</v>
      </c>
      <c r="FI177" s="60">
        <f t="shared" si="131"/>
        <v>293.33333333333729</v>
      </c>
      <c r="FJ177" s="60">
        <f ca="1">AVERAGE(OFFSET($FI$3,0,0,'Données projet'!$E$16+1,1))-AVERAGE(OFFSET($H$3,0,0,'Données projet'!$E$16+1,1))</f>
        <v>274.38315511766132</v>
      </c>
      <c r="FK177" s="60">
        <f t="shared" si="156"/>
        <v>255.96663040027175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-1.1368683772161603E-13</v>
      </c>
      <c r="GA177" s="18">
        <f>FZ177*VLOOKUP('Données projet'!$B$17,Paramètres!$A$1:$I$89,3,0)*VLOOKUP('Données projet'!$B$17,Paramètres!$A$1:$I$89,5,0)</f>
        <v>-9.7543306765146564E-14</v>
      </c>
      <c r="GB177" s="14" t="e">
        <f t="shared" si="185"/>
        <v>#NUM!</v>
      </c>
      <c r="GC177" s="22" t="e">
        <f t="shared" si="186"/>
        <v>#NUM!</v>
      </c>
      <c r="GD177" s="60" t="e">
        <f t="shared" si="134"/>
        <v>#NUM!</v>
      </c>
      <c r="GE177" s="60">
        <f ca="1">AVERAGE(OFFSET($GD$3,0,0,'Données projet'!$E$17+1,1))-AVERAGE(OFFSET($H$3,0,0,'Données projet'!$E$17+1,1))</f>
        <v>445.81166342116865</v>
      </c>
      <c r="GF177" s="60">
        <f t="shared" si="158"/>
        <v>230.82970731138215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5.6843418860808015E-14</v>
      </c>
      <c r="GV177" s="18">
        <f>GU177*VLOOKUP('Données projet'!$B$18,Paramètres!$A$1:$I$89,3,0)*VLOOKUP('Données projet'!$B$18,Paramètres!$A$1:$I$89,5,0)</f>
        <v>4.4337866711430253E-14</v>
      </c>
      <c r="GW177" s="14">
        <f t="shared" si="188"/>
        <v>7.3222115536967035E-13</v>
      </c>
      <c r="GX177" s="22">
        <f t="shared" si="189"/>
        <v>1.3525069634579169E-12</v>
      </c>
      <c r="GY177" s="60">
        <f t="shared" si="137"/>
        <v>293.33333333333468</v>
      </c>
      <c r="GZ177" s="60">
        <f ca="1">AVERAGE(OFFSET($GY$3,0,0,'Données projet'!$E$18+1,1))-AVERAGE(OFFSET($H$3,0,0,'Données projet'!$E$18+1,1))</f>
        <v>289.19475369871481</v>
      </c>
      <c r="HA177" s="60">
        <f t="shared" si="160"/>
        <v>283.48738729114024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projet'!$B$18,Paramètres!$A$1:$I$89,3,0)*0.475*44/12</f>
        <v>0</v>
      </c>
      <c r="HH177" s="23">
        <f>EXP(-LN(2)/25)*HH176+(1-EXP(-LN(2)/25))/(LN(2)/25)*Calculateur!HC177*Calculateur!HE177*VLOOKUP('Données projet'!$B$18,Paramètres!$A$1:$I$89,3,0)*0.475*44/12</f>
        <v>0</v>
      </c>
      <c r="HI177" s="23">
        <f>EXP(-LN(2)/2)*HI176+(1-EXP(-LN(2)/2))/(LN(2)/2)*HC177*HF177*VLOOKUP('Données projet'!$B$18,Paramètres!$A$1:$I$89,3,0)*0.475*44/12</f>
        <v>0</v>
      </c>
      <c r="HJ177" s="24">
        <f t="shared" si="190"/>
        <v>0</v>
      </c>
    </row>
    <row r="178" spans="1:218" x14ac:dyDescent="0.3">
      <c r="A178" s="11">
        <f t="shared" si="161"/>
        <v>175</v>
      </c>
      <c r="B178" s="75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8">
        <f t="shared" si="110"/>
        <v>256.66666666666669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-9.0949470177292824E-13</v>
      </c>
      <c r="O178" s="14">
        <f>N178*VLOOKUP('Données projet'!$B$9,Paramètres!$A$1:$I$89,3,0)*VLOOKUP('Données projet'!$B$9,Paramètres!$A$1:$I$89,5,0)</f>
        <v>-8.7966327555477625E-13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456.86147223520601</v>
      </c>
      <c r="T178" s="60">
        <f t="shared" si="142"/>
        <v>244.45149244446094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2.5579538487363607E-13</v>
      </c>
      <c r="AJ178" s="14">
        <f>AI178*VLOOKUP('Données projet'!$B$10,Paramètres!$A$1:$I$89,3,0)*VLOOKUP('Données projet'!$B$10,Paramètres!$A$1:$I$89,5,0)</f>
        <v>1.6759713616920635E-13</v>
      </c>
      <c r="AK178" s="14">
        <f t="shared" si="164"/>
        <v>2.3709043131075133E-12</v>
      </c>
      <c r="AL178" s="22">
        <f t="shared" si="165"/>
        <v>4.4212233574902864E-12</v>
      </c>
      <c r="AM178" s="60">
        <f t="shared" si="113"/>
        <v>293.33333333333775</v>
      </c>
      <c r="AN178" s="60">
        <f ca="1">AVERAGE(OFFSET($AM$3,0,0,'Données projet'!$E$10+1,1))-AVERAGE(OFFSET($H$3,0,0,'Données projet'!$E$10+1,1))</f>
        <v>170.79567854714986</v>
      </c>
      <c r="AO178" s="60">
        <f t="shared" si="144"/>
        <v>155.92788004111191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-1.1368683772161603E-13</v>
      </c>
      <c r="BE178" s="14">
        <f>BD178*VLOOKUP('Données projet'!$B$11,Paramètres!$A$1:$I$89,3,0)*VLOOKUP('Données projet'!$B$11,Paramètres!$A$1:$I$89,5,0)</f>
        <v>-9.2222762759774927E-14</v>
      </c>
      <c r="BF178" s="14" t="e">
        <f t="shared" si="167"/>
        <v>#NUM!</v>
      </c>
      <c r="BG178" s="22" t="e">
        <f t="shared" si="168"/>
        <v>#NUM!</v>
      </c>
      <c r="BH178" s="60" t="e">
        <f t="shared" si="116"/>
        <v>#NUM!</v>
      </c>
      <c r="BI178" s="60">
        <f ca="1">AVERAGE(OFFSET($BH$3,0,0,'Données projet'!$E$11+1,1))-AVERAGE(OFFSET($H$3,0,0,'Données projet'!$E$11+1,1))</f>
        <v>256.19915261735281</v>
      </c>
      <c r="BJ178" s="60">
        <f t="shared" si="146"/>
        <v>297.47246687305056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-5.6843418860808015E-14</v>
      </c>
      <c r="BZ178" s="14">
        <f>BY178*VLOOKUP('Données projet'!$B$12,Paramètres!$A$1:$I$89,3,0)*VLOOKUP('Données projet'!$B$12,Paramètres!$A$1:$I$89,5,0)</f>
        <v>-5.4092197387944907E-14</v>
      </c>
      <c r="CA178" s="14" t="e">
        <f t="shared" si="170"/>
        <v>#NUM!</v>
      </c>
      <c r="CB178" s="22" t="e">
        <f t="shared" si="171"/>
        <v>#NUM!</v>
      </c>
      <c r="CC178" s="60" t="e">
        <f t="shared" si="119"/>
        <v>#NUM!</v>
      </c>
      <c r="CD178" s="60">
        <f ca="1">AVERAGE(OFFSET($CC$3,0,0,'Données projet'!$E$12+1,1))-AVERAGE(OFFSET($H$3,0,0,'Données projet'!$E$12+1,1))</f>
        <v>353.53401919391234</v>
      </c>
      <c r="CE178" s="60">
        <f t="shared" si="148"/>
        <v>244.7141066773861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-9.0949470177292824E-13</v>
      </c>
      <c r="CU178" s="18">
        <f>CT178*VLOOKUP('Données projet'!$B$13,Paramètres!$A$1:$I$89,3,0)*VLOOKUP('Données projet'!$B$13,Paramètres!$A$1:$I$89,5,0)</f>
        <v>-7.6615833677351478E-13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403.33327536410098</v>
      </c>
      <c r="CZ178" s="60">
        <f t="shared" si="150"/>
        <v>218.26721063098552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3.4106051316484809E-13</v>
      </c>
      <c r="DP178" s="18">
        <f>DO178*VLOOKUP('Données projet'!$B$14,Paramètres!$A$1:$I$89,3,0)*VLOOKUP('Données projet'!$B$14,Paramètres!$A$1:$I$89,5,0)</f>
        <v>2.7134774427395314E-13</v>
      </c>
      <c r="DQ178" s="14">
        <f t="shared" si="176"/>
        <v>3.6292411711343559E-12</v>
      </c>
      <c r="DR178" s="22">
        <f t="shared" si="177"/>
        <v>6.7935256943361388E-12</v>
      </c>
      <c r="DS178" s="60">
        <f t="shared" si="125"/>
        <v>293.33333333334014</v>
      </c>
      <c r="DT178" s="60">
        <f ca="1">AVERAGE(OFFSET($DS$3,0,0,'Données projet'!$E$14+1,1))-AVERAGE(OFFSET($H$3,0,0,'Données projet'!$E$14+1,1))</f>
        <v>317.13087551964747</v>
      </c>
      <c r="DU178" s="60">
        <f t="shared" si="152"/>
        <v>293.43300041793185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1.7053025658242404E-13</v>
      </c>
      <c r="EK178" s="18">
        <f>EJ178*VLOOKUP('Données projet'!$B$15,Paramètres!$A$1:$I$89,3,0)*VLOOKUP('Données projet'!$B$15,Paramètres!$A$1:$I$89,5,0)</f>
        <v>1.3567387213697657E-13</v>
      </c>
      <c r="EL178" s="14">
        <f t="shared" si="179"/>
        <v>1.9670967679808581E-12</v>
      </c>
      <c r="EM178" s="22">
        <f t="shared" si="180"/>
        <v>3.6623255315385623E-12</v>
      </c>
      <c r="EN178" s="60">
        <f t="shared" si="128"/>
        <v>293.33333333333695</v>
      </c>
      <c r="EO178" s="60">
        <f ca="1">AVERAGE(OFFSET($EN$3,0,0,'Données projet'!$E$15+1,1))-AVERAGE(OFFSET($H$3,0,0,'Données projet'!$E$15+1,1))</f>
        <v>253.03289960511904</v>
      </c>
      <c r="EP178" s="60">
        <f t="shared" si="154"/>
        <v>236.85088713056018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1.7053025658242404E-13</v>
      </c>
      <c r="FF178" s="18">
        <f>FE178*VLOOKUP('Données projet'!$B$16,Paramètres!$A$1:$I$89,3,0)*VLOOKUP('Données projet'!$B$16,Paramètres!$A$1:$I$89,5,0)</f>
        <v>1.4897523215040567E-13</v>
      </c>
      <c r="FG178" s="14">
        <f t="shared" si="182"/>
        <v>2.136562777003313E-12</v>
      </c>
      <c r="FH178" s="22">
        <f t="shared" si="183"/>
        <v>3.9806453659427267E-12</v>
      </c>
      <c r="FI178" s="60">
        <f t="shared" si="131"/>
        <v>293.33333333333729</v>
      </c>
      <c r="FJ178" s="60">
        <f ca="1">AVERAGE(OFFSET($FI$3,0,0,'Données projet'!$E$16+1,1))-AVERAGE(OFFSET($H$3,0,0,'Données projet'!$E$16+1,1))</f>
        <v>274.38315511766132</v>
      </c>
      <c r="FK178" s="60">
        <f t="shared" si="156"/>
        <v>255.96663040027175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-1.1368683772161603E-13</v>
      </c>
      <c r="GA178" s="18">
        <f>FZ178*VLOOKUP('Données projet'!$B$17,Paramètres!$A$1:$I$89,3,0)*VLOOKUP('Données projet'!$B$17,Paramètres!$A$1:$I$89,5,0)</f>
        <v>-9.7543306765146564E-14</v>
      </c>
      <c r="GB178" s="14" t="e">
        <f t="shared" si="185"/>
        <v>#NUM!</v>
      </c>
      <c r="GC178" s="22" t="e">
        <f t="shared" si="186"/>
        <v>#NUM!</v>
      </c>
      <c r="GD178" s="60" t="e">
        <f t="shared" si="134"/>
        <v>#NUM!</v>
      </c>
      <c r="GE178" s="60">
        <f ca="1">AVERAGE(OFFSET($GD$3,0,0,'Données projet'!$E$17+1,1))-AVERAGE(OFFSET($H$3,0,0,'Données projet'!$E$17+1,1))</f>
        <v>445.81166342116865</v>
      </c>
      <c r="GF178" s="60">
        <f t="shared" si="158"/>
        <v>230.82970731138215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5.6843418860808015E-14</v>
      </c>
      <c r="GV178" s="18">
        <f>GU178*VLOOKUP('Données projet'!$B$18,Paramètres!$A$1:$I$89,3,0)*VLOOKUP('Données projet'!$B$18,Paramètres!$A$1:$I$89,5,0)</f>
        <v>4.4337866711430253E-14</v>
      </c>
      <c r="GW178" s="14">
        <f t="shared" si="188"/>
        <v>7.3222115536967035E-13</v>
      </c>
      <c r="GX178" s="22">
        <f t="shared" si="189"/>
        <v>1.3525069634579169E-12</v>
      </c>
      <c r="GY178" s="60">
        <f t="shared" si="137"/>
        <v>293.33333333333468</v>
      </c>
      <c r="GZ178" s="60">
        <f ca="1">AVERAGE(OFFSET($GY$3,0,0,'Données projet'!$E$18+1,1))-AVERAGE(OFFSET($H$3,0,0,'Données projet'!$E$18+1,1))</f>
        <v>289.19475369871481</v>
      </c>
      <c r="HA178" s="60">
        <f t="shared" si="160"/>
        <v>283.48738729114024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projet'!$B$18,Paramètres!$A$1:$I$89,3,0)*0.475*44/12</f>
        <v>0</v>
      </c>
      <c r="HH178" s="23">
        <f>EXP(-LN(2)/25)*HH177+(1-EXP(-LN(2)/25))/(LN(2)/25)*Calculateur!HC178*Calculateur!HE178*VLOOKUP('Données projet'!$B$18,Paramètres!$A$1:$I$89,3,0)*0.475*44/12</f>
        <v>0</v>
      </c>
      <c r="HI178" s="23">
        <f>EXP(-LN(2)/2)*HI177+(1-EXP(-LN(2)/2))/(LN(2)/2)*HC178*HF178*VLOOKUP('Données projet'!$B$18,Paramètres!$A$1:$I$89,3,0)*0.475*44/12</f>
        <v>0</v>
      </c>
      <c r="HJ178" s="24">
        <f t="shared" si="190"/>
        <v>0</v>
      </c>
    </row>
    <row r="179" spans="1:218" x14ac:dyDescent="0.3">
      <c r="A179" s="11">
        <f t="shared" si="161"/>
        <v>176</v>
      </c>
      <c r="B179" s="75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8">
        <f t="shared" si="110"/>
        <v>256.66666666666669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-9.0949470177292824E-13</v>
      </c>
      <c r="O179" s="14">
        <f>N179*VLOOKUP('Données projet'!$B$9,Paramètres!$A$1:$I$89,3,0)*VLOOKUP('Données projet'!$B$9,Paramètres!$A$1:$I$89,5,0)</f>
        <v>-8.7966327555477625E-13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456.86147223520601</v>
      </c>
      <c r="T179" s="60">
        <f t="shared" si="142"/>
        <v>244.45149244446094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2.5579538487363607E-13</v>
      </c>
      <c r="AJ179" s="14">
        <f>AI179*VLOOKUP('Données projet'!$B$10,Paramètres!$A$1:$I$89,3,0)*VLOOKUP('Données projet'!$B$10,Paramètres!$A$1:$I$89,5,0)</f>
        <v>1.6759713616920635E-13</v>
      </c>
      <c r="AK179" s="14">
        <f t="shared" si="164"/>
        <v>2.3709043131075133E-12</v>
      </c>
      <c r="AL179" s="22">
        <f t="shared" si="165"/>
        <v>4.4212233574902864E-12</v>
      </c>
      <c r="AM179" s="60">
        <f t="shared" si="113"/>
        <v>293.33333333333775</v>
      </c>
      <c r="AN179" s="60">
        <f ca="1">AVERAGE(OFFSET($AM$3,0,0,'Données projet'!$E$10+1,1))-AVERAGE(OFFSET($H$3,0,0,'Données projet'!$E$10+1,1))</f>
        <v>170.79567854714986</v>
      </c>
      <c r="AO179" s="60">
        <f t="shared" si="144"/>
        <v>155.92788004111191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-1.1368683772161603E-13</v>
      </c>
      <c r="BE179" s="14">
        <f>BD179*VLOOKUP('Données projet'!$B$11,Paramètres!$A$1:$I$89,3,0)*VLOOKUP('Données projet'!$B$11,Paramètres!$A$1:$I$89,5,0)</f>
        <v>-9.2222762759774927E-14</v>
      </c>
      <c r="BF179" s="14" t="e">
        <f t="shared" si="167"/>
        <v>#NUM!</v>
      </c>
      <c r="BG179" s="22" t="e">
        <f t="shared" si="168"/>
        <v>#NUM!</v>
      </c>
      <c r="BH179" s="60" t="e">
        <f t="shared" si="116"/>
        <v>#NUM!</v>
      </c>
      <c r="BI179" s="60">
        <f ca="1">AVERAGE(OFFSET($BH$3,0,0,'Données projet'!$E$11+1,1))-AVERAGE(OFFSET($H$3,0,0,'Données projet'!$E$11+1,1))</f>
        <v>256.19915261735281</v>
      </c>
      <c r="BJ179" s="60">
        <f t="shared" si="146"/>
        <v>297.47246687305056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-5.6843418860808015E-14</v>
      </c>
      <c r="BZ179" s="14">
        <f>BY179*VLOOKUP('Données projet'!$B$12,Paramètres!$A$1:$I$89,3,0)*VLOOKUP('Données projet'!$B$12,Paramètres!$A$1:$I$89,5,0)</f>
        <v>-5.4092197387944907E-14</v>
      </c>
      <c r="CA179" s="14" t="e">
        <f t="shared" si="170"/>
        <v>#NUM!</v>
      </c>
      <c r="CB179" s="22" t="e">
        <f t="shared" si="171"/>
        <v>#NUM!</v>
      </c>
      <c r="CC179" s="60" t="e">
        <f t="shared" si="119"/>
        <v>#NUM!</v>
      </c>
      <c r="CD179" s="60">
        <f ca="1">AVERAGE(OFFSET($CC$3,0,0,'Données projet'!$E$12+1,1))-AVERAGE(OFFSET($H$3,0,0,'Données projet'!$E$12+1,1))</f>
        <v>353.53401919391234</v>
      </c>
      <c r="CE179" s="60">
        <f t="shared" si="148"/>
        <v>244.7141066773861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-9.0949470177292824E-13</v>
      </c>
      <c r="CU179" s="18">
        <f>CT179*VLOOKUP('Données projet'!$B$13,Paramètres!$A$1:$I$89,3,0)*VLOOKUP('Données projet'!$B$13,Paramètres!$A$1:$I$89,5,0)</f>
        <v>-7.6615833677351478E-13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403.33327536410098</v>
      </c>
      <c r="CZ179" s="60">
        <f t="shared" si="150"/>
        <v>218.26721063098552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3.4106051316484809E-13</v>
      </c>
      <c r="DP179" s="18">
        <f>DO179*VLOOKUP('Données projet'!$B$14,Paramètres!$A$1:$I$89,3,0)*VLOOKUP('Données projet'!$B$14,Paramètres!$A$1:$I$89,5,0)</f>
        <v>2.7134774427395314E-13</v>
      </c>
      <c r="DQ179" s="14">
        <f t="shared" si="176"/>
        <v>3.6292411711343559E-12</v>
      </c>
      <c r="DR179" s="22">
        <f t="shared" si="177"/>
        <v>6.7935256943361388E-12</v>
      </c>
      <c r="DS179" s="60">
        <f t="shared" si="125"/>
        <v>293.33333333334014</v>
      </c>
      <c r="DT179" s="60">
        <f ca="1">AVERAGE(OFFSET($DS$3,0,0,'Données projet'!$E$14+1,1))-AVERAGE(OFFSET($H$3,0,0,'Données projet'!$E$14+1,1))</f>
        <v>317.13087551964747</v>
      </c>
      <c r="DU179" s="60">
        <f t="shared" si="152"/>
        <v>293.43300041793185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1.7053025658242404E-13</v>
      </c>
      <c r="EK179" s="18">
        <f>EJ179*VLOOKUP('Données projet'!$B$15,Paramètres!$A$1:$I$89,3,0)*VLOOKUP('Données projet'!$B$15,Paramètres!$A$1:$I$89,5,0)</f>
        <v>1.3567387213697657E-13</v>
      </c>
      <c r="EL179" s="14">
        <f t="shared" si="179"/>
        <v>1.9670967679808581E-12</v>
      </c>
      <c r="EM179" s="22">
        <f t="shared" si="180"/>
        <v>3.6623255315385623E-12</v>
      </c>
      <c r="EN179" s="60">
        <f t="shared" si="128"/>
        <v>293.33333333333695</v>
      </c>
      <c r="EO179" s="60">
        <f ca="1">AVERAGE(OFFSET($EN$3,0,0,'Données projet'!$E$15+1,1))-AVERAGE(OFFSET($H$3,0,0,'Données projet'!$E$15+1,1))</f>
        <v>253.03289960511904</v>
      </c>
      <c r="EP179" s="60">
        <f t="shared" si="154"/>
        <v>236.85088713056018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1.7053025658242404E-13</v>
      </c>
      <c r="FF179" s="18">
        <f>FE179*VLOOKUP('Données projet'!$B$16,Paramètres!$A$1:$I$89,3,0)*VLOOKUP('Données projet'!$B$16,Paramètres!$A$1:$I$89,5,0)</f>
        <v>1.4897523215040567E-13</v>
      </c>
      <c r="FG179" s="14">
        <f t="shared" si="182"/>
        <v>2.136562777003313E-12</v>
      </c>
      <c r="FH179" s="22">
        <f t="shared" si="183"/>
        <v>3.9806453659427267E-12</v>
      </c>
      <c r="FI179" s="60">
        <f t="shared" si="131"/>
        <v>293.33333333333729</v>
      </c>
      <c r="FJ179" s="60">
        <f ca="1">AVERAGE(OFFSET($FI$3,0,0,'Données projet'!$E$16+1,1))-AVERAGE(OFFSET($H$3,0,0,'Données projet'!$E$16+1,1))</f>
        <v>274.38315511766132</v>
      </c>
      <c r="FK179" s="60">
        <f t="shared" si="156"/>
        <v>255.96663040027175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-1.1368683772161603E-13</v>
      </c>
      <c r="GA179" s="18">
        <f>FZ179*VLOOKUP('Données projet'!$B$17,Paramètres!$A$1:$I$89,3,0)*VLOOKUP('Données projet'!$B$17,Paramètres!$A$1:$I$89,5,0)</f>
        <v>-9.7543306765146564E-14</v>
      </c>
      <c r="GB179" s="14" t="e">
        <f t="shared" si="185"/>
        <v>#NUM!</v>
      </c>
      <c r="GC179" s="22" t="e">
        <f t="shared" si="186"/>
        <v>#NUM!</v>
      </c>
      <c r="GD179" s="60" t="e">
        <f t="shared" si="134"/>
        <v>#NUM!</v>
      </c>
      <c r="GE179" s="60">
        <f ca="1">AVERAGE(OFFSET($GD$3,0,0,'Données projet'!$E$17+1,1))-AVERAGE(OFFSET($H$3,0,0,'Données projet'!$E$17+1,1))</f>
        <v>445.81166342116865</v>
      </c>
      <c r="GF179" s="60">
        <f t="shared" si="158"/>
        <v>230.82970731138215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5.6843418860808015E-14</v>
      </c>
      <c r="GV179" s="18">
        <f>GU179*VLOOKUP('Données projet'!$B$18,Paramètres!$A$1:$I$89,3,0)*VLOOKUP('Données projet'!$B$18,Paramètres!$A$1:$I$89,5,0)</f>
        <v>4.4337866711430253E-14</v>
      </c>
      <c r="GW179" s="14">
        <f t="shared" si="188"/>
        <v>7.3222115536967035E-13</v>
      </c>
      <c r="GX179" s="22">
        <f t="shared" si="189"/>
        <v>1.3525069634579169E-12</v>
      </c>
      <c r="GY179" s="60">
        <f t="shared" si="137"/>
        <v>293.33333333333468</v>
      </c>
      <c r="GZ179" s="60">
        <f ca="1">AVERAGE(OFFSET($GY$3,0,0,'Données projet'!$E$18+1,1))-AVERAGE(OFFSET($H$3,0,0,'Données projet'!$E$18+1,1))</f>
        <v>289.19475369871481</v>
      </c>
      <c r="HA179" s="60">
        <f t="shared" si="160"/>
        <v>283.48738729114024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projet'!$B$18,Paramètres!$A$1:$I$89,3,0)*0.475*44/12</f>
        <v>0</v>
      </c>
      <c r="HH179" s="23">
        <f>EXP(-LN(2)/25)*HH178+(1-EXP(-LN(2)/25))/(LN(2)/25)*Calculateur!HC179*Calculateur!HE179*VLOOKUP('Données projet'!$B$18,Paramètres!$A$1:$I$89,3,0)*0.475*44/12</f>
        <v>0</v>
      </c>
      <c r="HI179" s="23">
        <f>EXP(-LN(2)/2)*HI178+(1-EXP(-LN(2)/2))/(LN(2)/2)*HC179*HF179*VLOOKUP('Données projet'!$B$18,Paramètres!$A$1:$I$89,3,0)*0.475*44/12</f>
        <v>0</v>
      </c>
      <c r="HJ179" s="24">
        <f t="shared" si="190"/>
        <v>0</v>
      </c>
    </row>
    <row r="180" spans="1:218" x14ac:dyDescent="0.3">
      <c r="A180" s="11">
        <f t="shared" si="161"/>
        <v>177</v>
      </c>
      <c r="B180" s="75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8">
        <f t="shared" si="110"/>
        <v>256.66666666666669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-9.0949470177292824E-13</v>
      </c>
      <c r="O180" s="14">
        <f>N180*VLOOKUP('Données projet'!$B$9,Paramètres!$A$1:$I$89,3,0)*VLOOKUP('Données projet'!$B$9,Paramètres!$A$1:$I$89,5,0)</f>
        <v>-8.7966327555477625E-13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456.86147223520601</v>
      </c>
      <c r="T180" s="60">
        <f t="shared" si="142"/>
        <v>244.45149244446094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2.5579538487363607E-13</v>
      </c>
      <c r="AJ180" s="14">
        <f>AI180*VLOOKUP('Données projet'!$B$10,Paramètres!$A$1:$I$89,3,0)*VLOOKUP('Données projet'!$B$10,Paramètres!$A$1:$I$89,5,0)</f>
        <v>1.6759713616920635E-13</v>
      </c>
      <c r="AK180" s="14">
        <f t="shared" si="164"/>
        <v>2.3709043131075133E-12</v>
      </c>
      <c r="AL180" s="22">
        <f t="shared" si="165"/>
        <v>4.4212233574902864E-12</v>
      </c>
      <c r="AM180" s="60">
        <f t="shared" si="113"/>
        <v>293.33333333333775</v>
      </c>
      <c r="AN180" s="60">
        <f ca="1">AVERAGE(OFFSET($AM$3,0,0,'Données projet'!$E$10+1,1))-AVERAGE(OFFSET($H$3,0,0,'Données projet'!$E$10+1,1))</f>
        <v>170.79567854714986</v>
      </c>
      <c r="AO180" s="60">
        <f t="shared" si="144"/>
        <v>155.92788004111191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-1.1368683772161603E-13</v>
      </c>
      <c r="BE180" s="14">
        <f>BD180*VLOOKUP('Données projet'!$B$11,Paramètres!$A$1:$I$89,3,0)*VLOOKUP('Données projet'!$B$11,Paramètres!$A$1:$I$89,5,0)</f>
        <v>-9.2222762759774927E-14</v>
      </c>
      <c r="BF180" s="14" t="e">
        <f t="shared" si="167"/>
        <v>#NUM!</v>
      </c>
      <c r="BG180" s="22" t="e">
        <f t="shared" si="168"/>
        <v>#NUM!</v>
      </c>
      <c r="BH180" s="60" t="e">
        <f t="shared" si="116"/>
        <v>#NUM!</v>
      </c>
      <c r="BI180" s="60">
        <f ca="1">AVERAGE(OFFSET($BH$3,0,0,'Données projet'!$E$11+1,1))-AVERAGE(OFFSET($H$3,0,0,'Données projet'!$E$11+1,1))</f>
        <v>256.19915261735281</v>
      </c>
      <c r="BJ180" s="60">
        <f t="shared" si="146"/>
        <v>297.47246687305056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-5.6843418860808015E-14</v>
      </c>
      <c r="BZ180" s="14">
        <f>BY180*VLOOKUP('Données projet'!$B$12,Paramètres!$A$1:$I$89,3,0)*VLOOKUP('Données projet'!$B$12,Paramètres!$A$1:$I$89,5,0)</f>
        <v>-5.4092197387944907E-14</v>
      </c>
      <c r="CA180" s="14" t="e">
        <f t="shared" si="170"/>
        <v>#NUM!</v>
      </c>
      <c r="CB180" s="22" t="e">
        <f t="shared" si="171"/>
        <v>#NUM!</v>
      </c>
      <c r="CC180" s="60" t="e">
        <f t="shared" si="119"/>
        <v>#NUM!</v>
      </c>
      <c r="CD180" s="60">
        <f ca="1">AVERAGE(OFFSET($CC$3,0,0,'Données projet'!$E$12+1,1))-AVERAGE(OFFSET($H$3,0,0,'Données projet'!$E$12+1,1))</f>
        <v>353.53401919391234</v>
      </c>
      <c r="CE180" s="60">
        <f t="shared" si="148"/>
        <v>244.7141066773861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-9.0949470177292824E-13</v>
      </c>
      <c r="CU180" s="18">
        <f>CT180*VLOOKUP('Données projet'!$B$13,Paramètres!$A$1:$I$89,3,0)*VLOOKUP('Données projet'!$B$13,Paramètres!$A$1:$I$89,5,0)</f>
        <v>-7.6615833677351478E-13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403.33327536410098</v>
      </c>
      <c r="CZ180" s="60">
        <f t="shared" si="150"/>
        <v>218.26721063098552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3.4106051316484809E-13</v>
      </c>
      <c r="DP180" s="18">
        <f>DO180*VLOOKUP('Données projet'!$B$14,Paramètres!$A$1:$I$89,3,0)*VLOOKUP('Données projet'!$B$14,Paramètres!$A$1:$I$89,5,0)</f>
        <v>2.7134774427395314E-13</v>
      </c>
      <c r="DQ180" s="14">
        <f t="shared" si="176"/>
        <v>3.6292411711343559E-12</v>
      </c>
      <c r="DR180" s="22">
        <f t="shared" si="177"/>
        <v>6.7935256943361388E-12</v>
      </c>
      <c r="DS180" s="60">
        <f t="shared" si="125"/>
        <v>293.33333333334014</v>
      </c>
      <c r="DT180" s="60">
        <f ca="1">AVERAGE(OFFSET($DS$3,0,0,'Données projet'!$E$14+1,1))-AVERAGE(OFFSET($H$3,0,0,'Données projet'!$E$14+1,1))</f>
        <v>317.13087551964747</v>
      </c>
      <c r="DU180" s="60">
        <f t="shared" si="152"/>
        <v>293.43300041793185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1.7053025658242404E-13</v>
      </c>
      <c r="EK180" s="18">
        <f>EJ180*VLOOKUP('Données projet'!$B$15,Paramètres!$A$1:$I$89,3,0)*VLOOKUP('Données projet'!$B$15,Paramètres!$A$1:$I$89,5,0)</f>
        <v>1.3567387213697657E-13</v>
      </c>
      <c r="EL180" s="14">
        <f t="shared" si="179"/>
        <v>1.9670967679808581E-12</v>
      </c>
      <c r="EM180" s="22">
        <f t="shared" si="180"/>
        <v>3.6623255315385623E-12</v>
      </c>
      <c r="EN180" s="60">
        <f t="shared" si="128"/>
        <v>293.33333333333695</v>
      </c>
      <c r="EO180" s="60">
        <f ca="1">AVERAGE(OFFSET($EN$3,0,0,'Données projet'!$E$15+1,1))-AVERAGE(OFFSET($H$3,0,0,'Données projet'!$E$15+1,1))</f>
        <v>253.03289960511904</v>
      </c>
      <c r="EP180" s="60">
        <f t="shared" si="154"/>
        <v>236.85088713056018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1.7053025658242404E-13</v>
      </c>
      <c r="FF180" s="18">
        <f>FE180*VLOOKUP('Données projet'!$B$16,Paramètres!$A$1:$I$89,3,0)*VLOOKUP('Données projet'!$B$16,Paramètres!$A$1:$I$89,5,0)</f>
        <v>1.4897523215040567E-13</v>
      </c>
      <c r="FG180" s="14">
        <f t="shared" si="182"/>
        <v>2.136562777003313E-12</v>
      </c>
      <c r="FH180" s="22">
        <f t="shared" si="183"/>
        <v>3.9806453659427267E-12</v>
      </c>
      <c r="FI180" s="60">
        <f t="shared" si="131"/>
        <v>293.33333333333729</v>
      </c>
      <c r="FJ180" s="60">
        <f ca="1">AVERAGE(OFFSET($FI$3,0,0,'Données projet'!$E$16+1,1))-AVERAGE(OFFSET($H$3,0,0,'Données projet'!$E$16+1,1))</f>
        <v>274.38315511766132</v>
      </c>
      <c r="FK180" s="60">
        <f t="shared" si="156"/>
        <v>255.96663040027175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-1.1368683772161603E-13</v>
      </c>
      <c r="GA180" s="18">
        <f>FZ180*VLOOKUP('Données projet'!$B$17,Paramètres!$A$1:$I$89,3,0)*VLOOKUP('Données projet'!$B$17,Paramètres!$A$1:$I$89,5,0)</f>
        <v>-9.7543306765146564E-14</v>
      </c>
      <c r="GB180" s="14" t="e">
        <f t="shared" si="185"/>
        <v>#NUM!</v>
      </c>
      <c r="GC180" s="22" t="e">
        <f t="shared" si="186"/>
        <v>#NUM!</v>
      </c>
      <c r="GD180" s="60" t="e">
        <f t="shared" si="134"/>
        <v>#NUM!</v>
      </c>
      <c r="GE180" s="60">
        <f ca="1">AVERAGE(OFFSET($GD$3,0,0,'Données projet'!$E$17+1,1))-AVERAGE(OFFSET($H$3,0,0,'Données projet'!$E$17+1,1))</f>
        <v>445.81166342116865</v>
      </c>
      <c r="GF180" s="60">
        <f t="shared" si="158"/>
        <v>230.82970731138215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5.6843418860808015E-14</v>
      </c>
      <c r="GV180" s="18">
        <f>GU180*VLOOKUP('Données projet'!$B$18,Paramètres!$A$1:$I$89,3,0)*VLOOKUP('Données projet'!$B$18,Paramètres!$A$1:$I$89,5,0)</f>
        <v>4.4337866711430253E-14</v>
      </c>
      <c r="GW180" s="14">
        <f t="shared" si="188"/>
        <v>7.3222115536967035E-13</v>
      </c>
      <c r="GX180" s="22">
        <f t="shared" si="189"/>
        <v>1.3525069634579169E-12</v>
      </c>
      <c r="GY180" s="60">
        <f t="shared" si="137"/>
        <v>293.33333333333468</v>
      </c>
      <c r="GZ180" s="60">
        <f ca="1">AVERAGE(OFFSET($GY$3,0,0,'Données projet'!$E$18+1,1))-AVERAGE(OFFSET($H$3,0,0,'Données projet'!$E$18+1,1))</f>
        <v>289.19475369871481</v>
      </c>
      <c r="HA180" s="60">
        <f t="shared" si="160"/>
        <v>283.48738729114024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projet'!$B$18,Paramètres!$A$1:$I$89,3,0)*0.475*44/12</f>
        <v>0</v>
      </c>
      <c r="HH180" s="23">
        <f>EXP(-LN(2)/25)*HH179+(1-EXP(-LN(2)/25))/(LN(2)/25)*Calculateur!HC180*Calculateur!HE180*VLOOKUP('Données projet'!$B$18,Paramètres!$A$1:$I$89,3,0)*0.475*44/12</f>
        <v>0</v>
      </c>
      <c r="HI180" s="23">
        <f>EXP(-LN(2)/2)*HI179+(1-EXP(-LN(2)/2))/(LN(2)/2)*HC180*HF180*VLOOKUP('Données projet'!$B$18,Paramètres!$A$1:$I$89,3,0)*0.475*44/12</f>
        <v>0</v>
      </c>
      <c r="HJ180" s="24">
        <f t="shared" si="190"/>
        <v>0</v>
      </c>
    </row>
    <row r="181" spans="1:218" x14ac:dyDescent="0.3">
      <c r="A181" s="11">
        <f t="shared" si="161"/>
        <v>178</v>
      </c>
      <c r="B181" s="75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8">
        <f t="shared" si="110"/>
        <v>256.66666666666669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-9.0949470177292824E-13</v>
      </c>
      <c r="O181" s="14">
        <f>N181*VLOOKUP('Données projet'!$B$9,Paramètres!$A$1:$I$89,3,0)*VLOOKUP('Données projet'!$B$9,Paramètres!$A$1:$I$89,5,0)</f>
        <v>-8.7966327555477625E-13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456.86147223520601</v>
      </c>
      <c r="T181" s="60">
        <f t="shared" si="142"/>
        <v>244.45149244446094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2.5579538487363607E-13</v>
      </c>
      <c r="AJ181" s="14">
        <f>AI181*VLOOKUP('Données projet'!$B$10,Paramètres!$A$1:$I$89,3,0)*VLOOKUP('Données projet'!$B$10,Paramètres!$A$1:$I$89,5,0)</f>
        <v>1.6759713616920635E-13</v>
      </c>
      <c r="AK181" s="14">
        <f t="shared" si="164"/>
        <v>2.3709043131075133E-12</v>
      </c>
      <c r="AL181" s="22">
        <f t="shared" si="165"/>
        <v>4.4212233574902864E-12</v>
      </c>
      <c r="AM181" s="60">
        <f t="shared" si="113"/>
        <v>293.33333333333775</v>
      </c>
      <c r="AN181" s="60">
        <f ca="1">AVERAGE(OFFSET($AM$3,0,0,'Données projet'!$E$10+1,1))-AVERAGE(OFFSET($H$3,0,0,'Données projet'!$E$10+1,1))</f>
        <v>170.79567854714986</v>
      </c>
      <c r="AO181" s="60">
        <f t="shared" si="144"/>
        <v>155.92788004111191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-1.1368683772161603E-13</v>
      </c>
      <c r="BE181" s="14">
        <f>BD181*VLOOKUP('Données projet'!$B$11,Paramètres!$A$1:$I$89,3,0)*VLOOKUP('Données projet'!$B$11,Paramètres!$A$1:$I$89,5,0)</f>
        <v>-9.2222762759774927E-14</v>
      </c>
      <c r="BF181" s="14" t="e">
        <f t="shared" si="167"/>
        <v>#NUM!</v>
      </c>
      <c r="BG181" s="22" t="e">
        <f t="shared" si="168"/>
        <v>#NUM!</v>
      </c>
      <c r="BH181" s="60" t="e">
        <f t="shared" si="116"/>
        <v>#NUM!</v>
      </c>
      <c r="BI181" s="60">
        <f ca="1">AVERAGE(OFFSET($BH$3,0,0,'Données projet'!$E$11+1,1))-AVERAGE(OFFSET($H$3,0,0,'Données projet'!$E$11+1,1))</f>
        <v>256.19915261735281</v>
      </c>
      <c r="BJ181" s="60">
        <f t="shared" si="146"/>
        <v>297.47246687305056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-5.6843418860808015E-14</v>
      </c>
      <c r="BZ181" s="14">
        <f>BY181*VLOOKUP('Données projet'!$B$12,Paramètres!$A$1:$I$89,3,0)*VLOOKUP('Données projet'!$B$12,Paramètres!$A$1:$I$89,5,0)</f>
        <v>-5.4092197387944907E-14</v>
      </c>
      <c r="CA181" s="14" t="e">
        <f t="shared" si="170"/>
        <v>#NUM!</v>
      </c>
      <c r="CB181" s="22" t="e">
        <f t="shared" si="171"/>
        <v>#NUM!</v>
      </c>
      <c r="CC181" s="60" t="e">
        <f t="shared" si="119"/>
        <v>#NUM!</v>
      </c>
      <c r="CD181" s="60">
        <f ca="1">AVERAGE(OFFSET($CC$3,0,0,'Données projet'!$E$12+1,1))-AVERAGE(OFFSET($H$3,0,0,'Données projet'!$E$12+1,1))</f>
        <v>353.53401919391234</v>
      </c>
      <c r="CE181" s="60">
        <f t="shared" si="148"/>
        <v>244.7141066773861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-9.0949470177292824E-13</v>
      </c>
      <c r="CU181" s="18">
        <f>CT181*VLOOKUP('Données projet'!$B$13,Paramètres!$A$1:$I$89,3,0)*VLOOKUP('Données projet'!$B$13,Paramètres!$A$1:$I$89,5,0)</f>
        <v>-7.6615833677351478E-13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403.33327536410098</v>
      </c>
      <c r="CZ181" s="60">
        <f t="shared" si="150"/>
        <v>218.26721063098552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3.4106051316484809E-13</v>
      </c>
      <c r="DP181" s="18">
        <f>DO181*VLOOKUP('Données projet'!$B$14,Paramètres!$A$1:$I$89,3,0)*VLOOKUP('Données projet'!$B$14,Paramètres!$A$1:$I$89,5,0)</f>
        <v>2.7134774427395314E-13</v>
      </c>
      <c r="DQ181" s="14">
        <f t="shared" si="176"/>
        <v>3.6292411711343559E-12</v>
      </c>
      <c r="DR181" s="22">
        <f t="shared" si="177"/>
        <v>6.7935256943361388E-12</v>
      </c>
      <c r="DS181" s="60">
        <f t="shared" si="125"/>
        <v>293.33333333334014</v>
      </c>
      <c r="DT181" s="60">
        <f ca="1">AVERAGE(OFFSET($DS$3,0,0,'Données projet'!$E$14+1,1))-AVERAGE(OFFSET($H$3,0,0,'Données projet'!$E$14+1,1))</f>
        <v>317.13087551964747</v>
      </c>
      <c r="DU181" s="60">
        <f t="shared" si="152"/>
        <v>293.43300041793185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1.7053025658242404E-13</v>
      </c>
      <c r="EK181" s="18">
        <f>EJ181*VLOOKUP('Données projet'!$B$15,Paramètres!$A$1:$I$89,3,0)*VLOOKUP('Données projet'!$B$15,Paramètres!$A$1:$I$89,5,0)</f>
        <v>1.3567387213697657E-13</v>
      </c>
      <c r="EL181" s="14">
        <f t="shared" si="179"/>
        <v>1.9670967679808581E-12</v>
      </c>
      <c r="EM181" s="22">
        <f t="shared" si="180"/>
        <v>3.6623255315385623E-12</v>
      </c>
      <c r="EN181" s="60">
        <f t="shared" si="128"/>
        <v>293.33333333333695</v>
      </c>
      <c r="EO181" s="60">
        <f ca="1">AVERAGE(OFFSET($EN$3,0,0,'Données projet'!$E$15+1,1))-AVERAGE(OFFSET($H$3,0,0,'Données projet'!$E$15+1,1))</f>
        <v>253.03289960511904</v>
      </c>
      <c r="EP181" s="60">
        <f t="shared" si="154"/>
        <v>236.85088713056018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1.7053025658242404E-13</v>
      </c>
      <c r="FF181" s="18">
        <f>FE181*VLOOKUP('Données projet'!$B$16,Paramètres!$A$1:$I$89,3,0)*VLOOKUP('Données projet'!$B$16,Paramètres!$A$1:$I$89,5,0)</f>
        <v>1.4897523215040567E-13</v>
      </c>
      <c r="FG181" s="14">
        <f t="shared" si="182"/>
        <v>2.136562777003313E-12</v>
      </c>
      <c r="FH181" s="22">
        <f t="shared" si="183"/>
        <v>3.9806453659427267E-12</v>
      </c>
      <c r="FI181" s="60">
        <f t="shared" si="131"/>
        <v>293.33333333333729</v>
      </c>
      <c r="FJ181" s="60">
        <f ca="1">AVERAGE(OFFSET($FI$3,0,0,'Données projet'!$E$16+1,1))-AVERAGE(OFFSET($H$3,0,0,'Données projet'!$E$16+1,1))</f>
        <v>274.38315511766132</v>
      </c>
      <c r="FK181" s="60">
        <f t="shared" si="156"/>
        <v>255.96663040027175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-1.1368683772161603E-13</v>
      </c>
      <c r="GA181" s="18">
        <f>FZ181*VLOOKUP('Données projet'!$B$17,Paramètres!$A$1:$I$89,3,0)*VLOOKUP('Données projet'!$B$17,Paramètres!$A$1:$I$89,5,0)</f>
        <v>-9.7543306765146564E-14</v>
      </c>
      <c r="GB181" s="14" t="e">
        <f t="shared" si="185"/>
        <v>#NUM!</v>
      </c>
      <c r="GC181" s="22" t="e">
        <f t="shared" si="186"/>
        <v>#NUM!</v>
      </c>
      <c r="GD181" s="60" t="e">
        <f t="shared" si="134"/>
        <v>#NUM!</v>
      </c>
      <c r="GE181" s="60">
        <f ca="1">AVERAGE(OFFSET($GD$3,0,0,'Données projet'!$E$17+1,1))-AVERAGE(OFFSET($H$3,0,0,'Données projet'!$E$17+1,1))</f>
        <v>445.81166342116865</v>
      </c>
      <c r="GF181" s="60">
        <f t="shared" si="158"/>
        <v>230.82970731138215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5.6843418860808015E-14</v>
      </c>
      <c r="GV181" s="18">
        <f>GU181*VLOOKUP('Données projet'!$B$18,Paramètres!$A$1:$I$89,3,0)*VLOOKUP('Données projet'!$B$18,Paramètres!$A$1:$I$89,5,0)</f>
        <v>4.4337866711430253E-14</v>
      </c>
      <c r="GW181" s="14">
        <f t="shared" si="188"/>
        <v>7.3222115536967035E-13</v>
      </c>
      <c r="GX181" s="22">
        <f t="shared" si="189"/>
        <v>1.3525069634579169E-12</v>
      </c>
      <c r="GY181" s="60">
        <f t="shared" si="137"/>
        <v>293.33333333333468</v>
      </c>
      <c r="GZ181" s="60">
        <f ca="1">AVERAGE(OFFSET($GY$3,0,0,'Données projet'!$E$18+1,1))-AVERAGE(OFFSET($H$3,0,0,'Données projet'!$E$18+1,1))</f>
        <v>289.19475369871481</v>
      </c>
      <c r="HA181" s="60">
        <f t="shared" si="160"/>
        <v>283.48738729114024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projet'!$B$18,Paramètres!$A$1:$I$89,3,0)*0.475*44/12</f>
        <v>0</v>
      </c>
      <c r="HH181" s="23">
        <f>EXP(-LN(2)/25)*HH180+(1-EXP(-LN(2)/25))/(LN(2)/25)*Calculateur!HC181*Calculateur!HE181*VLOOKUP('Données projet'!$B$18,Paramètres!$A$1:$I$89,3,0)*0.475*44/12</f>
        <v>0</v>
      </c>
      <c r="HI181" s="23">
        <f>EXP(-LN(2)/2)*HI180+(1-EXP(-LN(2)/2))/(LN(2)/2)*HC181*HF181*VLOOKUP('Données projet'!$B$18,Paramètres!$A$1:$I$89,3,0)*0.475*44/12</f>
        <v>0</v>
      </c>
      <c r="HJ181" s="24">
        <f t="shared" si="190"/>
        <v>0</v>
      </c>
    </row>
    <row r="182" spans="1:218" x14ac:dyDescent="0.3">
      <c r="A182" s="11">
        <f t="shared" si="161"/>
        <v>179</v>
      </c>
      <c r="B182" s="75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8">
        <f t="shared" si="110"/>
        <v>256.66666666666669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-9.0949470177292824E-13</v>
      </c>
      <c r="O182" s="14">
        <f>N182*VLOOKUP('Données projet'!$B$9,Paramètres!$A$1:$I$89,3,0)*VLOOKUP('Données projet'!$B$9,Paramètres!$A$1:$I$89,5,0)</f>
        <v>-8.7966327555477625E-13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456.86147223520601</v>
      </c>
      <c r="T182" s="60">
        <f t="shared" si="142"/>
        <v>244.45149244446094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2.5579538487363607E-13</v>
      </c>
      <c r="AJ182" s="14">
        <f>AI182*VLOOKUP('Données projet'!$B$10,Paramètres!$A$1:$I$89,3,0)*VLOOKUP('Données projet'!$B$10,Paramètres!$A$1:$I$89,5,0)</f>
        <v>1.6759713616920635E-13</v>
      </c>
      <c r="AK182" s="14">
        <f t="shared" si="164"/>
        <v>2.3709043131075133E-12</v>
      </c>
      <c r="AL182" s="22">
        <f t="shared" si="165"/>
        <v>4.4212233574902864E-12</v>
      </c>
      <c r="AM182" s="60">
        <f t="shared" si="113"/>
        <v>293.33333333333775</v>
      </c>
      <c r="AN182" s="60">
        <f ca="1">AVERAGE(OFFSET($AM$3,0,0,'Données projet'!$E$10+1,1))-AVERAGE(OFFSET($H$3,0,0,'Données projet'!$E$10+1,1))</f>
        <v>170.79567854714986</v>
      </c>
      <c r="AO182" s="60">
        <f t="shared" si="144"/>
        <v>155.92788004111191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-1.1368683772161603E-13</v>
      </c>
      <c r="BE182" s="14">
        <f>BD182*VLOOKUP('Données projet'!$B$11,Paramètres!$A$1:$I$89,3,0)*VLOOKUP('Données projet'!$B$11,Paramètres!$A$1:$I$89,5,0)</f>
        <v>-9.2222762759774927E-14</v>
      </c>
      <c r="BF182" s="14" t="e">
        <f t="shared" si="167"/>
        <v>#NUM!</v>
      </c>
      <c r="BG182" s="22" t="e">
        <f t="shared" si="168"/>
        <v>#NUM!</v>
      </c>
      <c r="BH182" s="60" t="e">
        <f t="shared" si="116"/>
        <v>#NUM!</v>
      </c>
      <c r="BI182" s="60">
        <f ca="1">AVERAGE(OFFSET($BH$3,0,0,'Données projet'!$E$11+1,1))-AVERAGE(OFFSET($H$3,0,0,'Données projet'!$E$11+1,1))</f>
        <v>256.19915261735281</v>
      </c>
      <c r="BJ182" s="60">
        <f t="shared" si="146"/>
        <v>297.47246687305056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-5.6843418860808015E-14</v>
      </c>
      <c r="BZ182" s="14">
        <f>BY182*VLOOKUP('Données projet'!$B$12,Paramètres!$A$1:$I$89,3,0)*VLOOKUP('Données projet'!$B$12,Paramètres!$A$1:$I$89,5,0)</f>
        <v>-5.4092197387944907E-14</v>
      </c>
      <c r="CA182" s="14" t="e">
        <f t="shared" si="170"/>
        <v>#NUM!</v>
      </c>
      <c r="CB182" s="22" t="e">
        <f t="shared" si="171"/>
        <v>#NUM!</v>
      </c>
      <c r="CC182" s="60" t="e">
        <f t="shared" si="119"/>
        <v>#NUM!</v>
      </c>
      <c r="CD182" s="60">
        <f ca="1">AVERAGE(OFFSET($CC$3,0,0,'Données projet'!$E$12+1,1))-AVERAGE(OFFSET($H$3,0,0,'Données projet'!$E$12+1,1))</f>
        <v>353.53401919391234</v>
      </c>
      <c r="CE182" s="60">
        <f t="shared" si="148"/>
        <v>244.7141066773861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-9.0949470177292824E-13</v>
      </c>
      <c r="CU182" s="18">
        <f>CT182*VLOOKUP('Données projet'!$B$13,Paramètres!$A$1:$I$89,3,0)*VLOOKUP('Données projet'!$B$13,Paramètres!$A$1:$I$89,5,0)</f>
        <v>-7.6615833677351478E-13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403.33327536410098</v>
      </c>
      <c r="CZ182" s="60">
        <f t="shared" si="150"/>
        <v>218.26721063098552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3.4106051316484809E-13</v>
      </c>
      <c r="DP182" s="18">
        <f>DO182*VLOOKUP('Données projet'!$B$14,Paramètres!$A$1:$I$89,3,0)*VLOOKUP('Données projet'!$B$14,Paramètres!$A$1:$I$89,5,0)</f>
        <v>2.7134774427395314E-13</v>
      </c>
      <c r="DQ182" s="14">
        <f t="shared" si="176"/>
        <v>3.6292411711343559E-12</v>
      </c>
      <c r="DR182" s="22">
        <f t="shared" si="177"/>
        <v>6.7935256943361388E-12</v>
      </c>
      <c r="DS182" s="60">
        <f t="shared" si="125"/>
        <v>293.33333333334014</v>
      </c>
      <c r="DT182" s="60">
        <f ca="1">AVERAGE(OFFSET($DS$3,0,0,'Données projet'!$E$14+1,1))-AVERAGE(OFFSET($H$3,0,0,'Données projet'!$E$14+1,1))</f>
        <v>317.13087551964747</v>
      </c>
      <c r="DU182" s="60">
        <f t="shared" si="152"/>
        <v>293.43300041793185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1.7053025658242404E-13</v>
      </c>
      <c r="EK182" s="18">
        <f>EJ182*VLOOKUP('Données projet'!$B$15,Paramètres!$A$1:$I$89,3,0)*VLOOKUP('Données projet'!$B$15,Paramètres!$A$1:$I$89,5,0)</f>
        <v>1.3567387213697657E-13</v>
      </c>
      <c r="EL182" s="14">
        <f t="shared" si="179"/>
        <v>1.9670967679808581E-12</v>
      </c>
      <c r="EM182" s="22">
        <f t="shared" si="180"/>
        <v>3.6623255315385623E-12</v>
      </c>
      <c r="EN182" s="60">
        <f t="shared" si="128"/>
        <v>293.33333333333695</v>
      </c>
      <c r="EO182" s="60">
        <f ca="1">AVERAGE(OFFSET($EN$3,0,0,'Données projet'!$E$15+1,1))-AVERAGE(OFFSET($H$3,0,0,'Données projet'!$E$15+1,1))</f>
        <v>253.03289960511904</v>
      </c>
      <c r="EP182" s="60">
        <f t="shared" si="154"/>
        <v>236.85088713056018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1.7053025658242404E-13</v>
      </c>
      <c r="FF182" s="18">
        <f>FE182*VLOOKUP('Données projet'!$B$16,Paramètres!$A$1:$I$89,3,0)*VLOOKUP('Données projet'!$B$16,Paramètres!$A$1:$I$89,5,0)</f>
        <v>1.4897523215040567E-13</v>
      </c>
      <c r="FG182" s="14">
        <f t="shared" si="182"/>
        <v>2.136562777003313E-12</v>
      </c>
      <c r="FH182" s="22">
        <f t="shared" si="183"/>
        <v>3.9806453659427267E-12</v>
      </c>
      <c r="FI182" s="60">
        <f t="shared" si="131"/>
        <v>293.33333333333729</v>
      </c>
      <c r="FJ182" s="60">
        <f ca="1">AVERAGE(OFFSET($FI$3,0,0,'Données projet'!$E$16+1,1))-AVERAGE(OFFSET($H$3,0,0,'Données projet'!$E$16+1,1))</f>
        <v>274.38315511766132</v>
      </c>
      <c r="FK182" s="60">
        <f t="shared" si="156"/>
        <v>255.96663040027175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-1.1368683772161603E-13</v>
      </c>
      <c r="GA182" s="18">
        <f>FZ182*VLOOKUP('Données projet'!$B$17,Paramètres!$A$1:$I$89,3,0)*VLOOKUP('Données projet'!$B$17,Paramètres!$A$1:$I$89,5,0)</f>
        <v>-9.7543306765146564E-14</v>
      </c>
      <c r="GB182" s="14" t="e">
        <f t="shared" si="185"/>
        <v>#NUM!</v>
      </c>
      <c r="GC182" s="22" t="e">
        <f t="shared" si="186"/>
        <v>#NUM!</v>
      </c>
      <c r="GD182" s="60" t="e">
        <f t="shared" si="134"/>
        <v>#NUM!</v>
      </c>
      <c r="GE182" s="60">
        <f ca="1">AVERAGE(OFFSET($GD$3,0,0,'Données projet'!$E$17+1,1))-AVERAGE(OFFSET($H$3,0,0,'Données projet'!$E$17+1,1))</f>
        <v>445.81166342116865</v>
      </c>
      <c r="GF182" s="60">
        <f t="shared" si="158"/>
        <v>230.82970731138215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5.6843418860808015E-14</v>
      </c>
      <c r="GV182" s="18">
        <f>GU182*VLOOKUP('Données projet'!$B$18,Paramètres!$A$1:$I$89,3,0)*VLOOKUP('Données projet'!$B$18,Paramètres!$A$1:$I$89,5,0)</f>
        <v>4.4337866711430253E-14</v>
      </c>
      <c r="GW182" s="14">
        <f t="shared" si="188"/>
        <v>7.3222115536967035E-13</v>
      </c>
      <c r="GX182" s="22">
        <f t="shared" si="189"/>
        <v>1.3525069634579169E-12</v>
      </c>
      <c r="GY182" s="60">
        <f t="shared" si="137"/>
        <v>293.33333333333468</v>
      </c>
      <c r="GZ182" s="60">
        <f ca="1">AVERAGE(OFFSET($GY$3,0,0,'Données projet'!$E$18+1,1))-AVERAGE(OFFSET($H$3,0,0,'Données projet'!$E$18+1,1))</f>
        <v>289.19475369871481</v>
      </c>
      <c r="HA182" s="60">
        <f t="shared" si="160"/>
        <v>283.48738729114024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projet'!$B$18,Paramètres!$A$1:$I$89,3,0)*0.475*44/12</f>
        <v>0</v>
      </c>
      <c r="HH182" s="23">
        <f>EXP(-LN(2)/25)*HH181+(1-EXP(-LN(2)/25))/(LN(2)/25)*Calculateur!HC182*Calculateur!HE182*VLOOKUP('Données projet'!$B$18,Paramètres!$A$1:$I$89,3,0)*0.475*44/12</f>
        <v>0</v>
      </c>
      <c r="HI182" s="23">
        <f>EXP(-LN(2)/2)*HI181+(1-EXP(-LN(2)/2))/(LN(2)/2)*HC182*HF182*VLOOKUP('Données projet'!$B$18,Paramètres!$A$1:$I$89,3,0)*0.475*44/12</f>
        <v>0</v>
      </c>
      <c r="HJ182" s="24">
        <f t="shared" si="190"/>
        <v>0</v>
      </c>
    </row>
    <row r="183" spans="1:218" x14ac:dyDescent="0.3">
      <c r="A183" s="11">
        <f t="shared" si="161"/>
        <v>180</v>
      </c>
      <c r="B183" s="75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8">
        <f t="shared" si="110"/>
        <v>256.66666666666669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-9.0949470177292824E-13</v>
      </c>
      <c r="O183" s="14">
        <f>N183*VLOOKUP('Données projet'!$B$9,Paramètres!$A$1:$I$89,3,0)*VLOOKUP('Données projet'!$B$9,Paramètres!$A$1:$I$89,5,0)</f>
        <v>-8.7966327555477625E-13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456.86147223520601</v>
      </c>
      <c r="T183" s="60">
        <f t="shared" si="142"/>
        <v>244.45149244446094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2.5579538487363607E-13</v>
      </c>
      <c r="AJ183" s="14">
        <f>AI183*VLOOKUP('Données projet'!$B$10,Paramètres!$A$1:$I$89,3,0)*VLOOKUP('Données projet'!$B$10,Paramètres!$A$1:$I$89,5,0)</f>
        <v>1.6759713616920635E-13</v>
      </c>
      <c r="AK183" s="14">
        <f t="shared" si="164"/>
        <v>2.3709043131075133E-12</v>
      </c>
      <c r="AL183" s="22">
        <f t="shared" si="165"/>
        <v>4.4212233574902864E-12</v>
      </c>
      <c r="AM183" s="60">
        <f t="shared" si="113"/>
        <v>293.33333333333775</v>
      </c>
      <c r="AN183" s="60">
        <f ca="1">AVERAGE(OFFSET($AM$3,0,0,'Données projet'!$E$10+1,1))-AVERAGE(OFFSET($H$3,0,0,'Données projet'!$E$10+1,1))</f>
        <v>170.79567854714986</v>
      </c>
      <c r="AO183" s="60">
        <f t="shared" si="144"/>
        <v>155.92788004111191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-1.1368683772161603E-13</v>
      </c>
      <c r="BE183" s="14">
        <f>BD183*VLOOKUP('Données projet'!$B$11,Paramètres!$A$1:$I$89,3,0)*VLOOKUP('Données projet'!$B$11,Paramètres!$A$1:$I$89,5,0)</f>
        <v>-9.2222762759774927E-14</v>
      </c>
      <c r="BF183" s="14" t="e">
        <f t="shared" si="167"/>
        <v>#NUM!</v>
      </c>
      <c r="BG183" s="22" t="e">
        <f t="shared" si="168"/>
        <v>#NUM!</v>
      </c>
      <c r="BH183" s="60" t="e">
        <f t="shared" si="116"/>
        <v>#NUM!</v>
      </c>
      <c r="BI183" s="60">
        <f ca="1">AVERAGE(OFFSET($BH$3,0,0,'Données projet'!$E$11+1,1))-AVERAGE(OFFSET($H$3,0,0,'Données projet'!$E$11+1,1))</f>
        <v>256.19915261735281</v>
      </c>
      <c r="BJ183" s="60">
        <f t="shared" si="146"/>
        <v>297.47246687305056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-5.6843418860808015E-14</v>
      </c>
      <c r="BZ183" s="14">
        <f>BY183*VLOOKUP('Données projet'!$B$12,Paramètres!$A$1:$I$89,3,0)*VLOOKUP('Données projet'!$B$12,Paramètres!$A$1:$I$89,5,0)</f>
        <v>-5.4092197387944907E-14</v>
      </c>
      <c r="CA183" s="14" t="e">
        <f t="shared" si="170"/>
        <v>#NUM!</v>
      </c>
      <c r="CB183" s="22" t="e">
        <f t="shared" si="171"/>
        <v>#NUM!</v>
      </c>
      <c r="CC183" s="60" t="e">
        <f t="shared" si="119"/>
        <v>#NUM!</v>
      </c>
      <c r="CD183" s="60">
        <f ca="1">AVERAGE(OFFSET($CC$3,0,0,'Données projet'!$E$12+1,1))-AVERAGE(OFFSET($H$3,0,0,'Données projet'!$E$12+1,1))</f>
        <v>353.53401919391234</v>
      </c>
      <c r="CE183" s="60">
        <f t="shared" si="148"/>
        <v>244.7141066773861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-9.0949470177292824E-13</v>
      </c>
      <c r="CU183" s="18">
        <f>CT183*VLOOKUP('Données projet'!$B$13,Paramètres!$A$1:$I$89,3,0)*VLOOKUP('Données projet'!$B$13,Paramètres!$A$1:$I$89,5,0)</f>
        <v>-7.6615833677351478E-13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403.33327536410098</v>
      </c>
      <c r="CZ183" s="60">
        <f t="shared" si="150"/>
        <v>218.26721063098552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3.4106051316484809E-13</v>
      </c>
      <c r="DP183" s="18">
        <f>DO183*VLOOKUP('Données projet'!$B$14,Paramètres!$A$1:$I$89,3,0)*VLOOKUP('Données projet'!$B$14,Paramètres!$A$1:$I$89,5,0)</f>
        <v>2.7134774427395314E-13</v>
      </c>
      <c r="DQ183" s="14">
        <f t="shared" si="176"/>
        <v>3.6292411711343559E-12</v>
      </c>
      <c r="DR183" s="22">
        <f t="shared" si="177"/>
        <v>6.7935256943361388E-12</v>
      </c>
      <c r="DS183" s="60">
        <f t="shared" si="125"/>
        <v>293.33333333334014</v>
      </c>
      <c r="DT183" s="60">
        <f ca="1">AVERAGE(OFFSET($DS$3,0,0,'Données projet'!$E$14+1,1))-AVERAGE(OFFSET($H$3,0,0,'Données projet'!$E$14+1,1))</f>
        <v>317.13087551964747</v>
      </c>
      <c r="DU183" s="60">
        <f t="shared" si="152"/>
        <v>293.43300041793185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1.7053025658242404E-13</v>
      </c>
      <c r="EK183" s="18">
        <f>EJ183*VLOOKUP('Données projet'!$B$15,Paramètres!$A$1:$I$89,3,0)*VLOOKUP('Données projet'!$B$15,Paramètres!$A$1:$I$89,5,0)</f>
        <v>1.3567387213697657E-13</v>
      </c>
      <c r="EL183" s="14">
        <f t="shared" si="179"/>
        <v>1.9670967679808581E-12</v>
      </c>
      <c r="EM183" s="22">
        <f t="shared" si="180"/>
        <v>3.6623255315385623E-12</v>
      </c>
      <c r="EN183" s="60">
        <f t="shared" si="128"/>
        <v>293.33333333333695</v>
      </c>
      <c r="EO183" s="60">
        <f ca="1">AVERAGE(OFFSET($EN$3,0,0,'Données projet'!$E$15+1,1))-AVERAGE(OFFSET($H$3,0,0,'Données projet'!$E$15+1,1))</f>
        <v>253.03289960511904</v>
      </c>
      <c r="EP183" s="60">
        <f t="shared" si="154"/>
        <v>236.85088713056018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1.7053025658242404E-13</v>
      </c>
      <c r="FF183" s="18">
        <f>FE183*VLOOKUP('Données projet'!$B$16,Paramètres!$A$1:$I$89,3,0)*VLOOKUP('Données projet'!$B$16,Paramètres!$A$1:$I$89,5,0)</f>
        <v>1.4897523215040567E-13</v>
      </c>
      <c r="FG183" s="14">
        <f t="shared" si="182"/>
        <v>2.136562777003313E-12</v>
      </c>
      <c r="FH183" s="22">
        <f t="shared" si="183"/>
        <v>3.9806453659427267E-12</v>
      </c>
      <c r="FI183" s="60">
        <f t="shared" si="131"/>
        <v>293.33333333333729</v>
      </c>
      <c r="FJ183" s="60">
        <f ca="1">AVERAGE(OFFSET($FI$3,0,0,'Données projet'!$E$16+1,1))-AVERAGE(OFFSET($H$3,0,0,'Données projet'!$E$16+1,1))</f>
        <v>274.38315511766132</v>
      </c>
      <c r="FK183" s="60">
        <f t="shared" si="156"/>
        <v>255.96663040027175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-1.1368683772161603E-13</v>
      </c>
      <c r="GA183" s="18">
        <f>FZ183*VLOOKUP('Données projet'!$B$17,Paramètres!$A$1:$I$89,3,0)*VLOOKUP('Données projet'!$B$17,Paramètres!$A$1:$I$89,5,0)</f>
        <v>-9.7543306765146564E-14</v>
      </c>
      <c r="GB183" s="14" t="e">
        <f t="shared" si="185"/>
        <v>#NUM!</v>
      </c>
      <c r="GC183" s="22" t="e">
        <f t="shared" si="186"/>
        <v>#NUM!</v>
      </c>
      <c r="GD183" s="60" t="e">
        <f t="shared" si="134"/>
        <v>#NUM!</v>
      </c>
      <c r="GE183" s="60">
        <f ca="1">AVERAGE(OFFSET($GD$3,0,0,'Données projet'!$E$17+1,1))-AVERAGE(OFFSET($H$3,0,0,'Données projet'!$E$17+1,1))</f>
        <v>445.81166342116865</v>
      </c>
      <c r="GF183" s="60">
        <f t="shared" si="158"/>
        <v>230.82970731138215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5.6843418860808015E-14</v>
      </c>
      <c r="GV183" s="18">
        <f>GU183*VLOOKUP('Données projet'!$B$18,Paramètres!$A$1:$I$89,3,0)*VLOOKUP('Données projet'!$B$18,Paramètres!$A$1:$I$89,5,0)</f>
        <v>4.4337866711430253E-14</v>
      </c>
      <c r="GW183" s="14">
        <f t="shared" si="188"/>
        <v>7.3222115536967035E-13</v>
      </c>
      <c r="GX183" s="22">
        <f t="shared" si="189"/>
        <v>1.3525069634579169E-12</v>
      </c>
      <c r="GY183" s="60">
        <f t="shared" si="137"/>
        <v>293.33333333333468</v>
      </c>
      <c r="GZ183" s="60">
        <f ca="1">AVERAGE(OFFSET($GY$3,0,0,'Données projet'!$E$18+1,1))-AVERAGE(OFFSET($H$3,0,0,'Données projet'!$E$18+1,1))</f>
        <v>289.19475369871481</v>
      </c>
      <c r="HA183" s="60">
        <f t="shared" si="160"/>
        <v>283.48738729114024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projet'!$B$18,Paramètres!$A$1:$I$89,3,0)*0.475*44/12</f>
        <v>0</v>
      </c>
      <c r="HH183" s="23">
        <f>EXP(-LN(2)/25)*HH182+(1-EXP(-LN(2)/25))/(LN(2)/25)*Calculateur!HC183*Calculateur!HE183*VLOOKUP('Données projet'!$B$18,Paramètres!$A$1:$I$89,3,0)*0.475*44/12</f>
        <v>0</v>
      </c>
      <c r="HI183" s="23">
        <f>EXP(-LN(2)/2)*HI182+(1-EXP(-LN(2)/2))/(LN(2)/2)*HC183*HF183*VLOOKUP('Données projet'!$B$18,Paramètres!$A$1:$I$89,3,0)*0.475*44/12</f>
        <v>0</v>
      </c>
      <c r="HJ183" s="24">
        <f t="shared" si="190"/>
        <v>0</v>
      </c>
    </row>
    <row r="184" spans="1:218" x14ac:dyDescent="0.3">
      <c r="A184" s="11">
        <f t="shared" si="161"/>
        <v>181</v>
      </c>
      <c r="B184" s="75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8">
        <f t="shared" si="110"/>
        <v>256.66666666666669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-9.0949470177292824E-13</v>
      </c>
      <c r="O184" s="14">
        <f>N184*VLOOKUP('Données projet'!$B$9,Paramètres!$A$1:$I$89,3,0)*VLOOKUP('Données projet'!$B$9,Paramètres!$A$1:$I$89,5,0)</f>
        <v>-8.7966327555477625E-13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456.86147223520601</v>
      </c>
      <c r="T184" s="60">
        <f t="shared" si="142"/>
        <v>244.45149244446094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2.5579538487363607E-13</v>
      </c>
      <c r="AJ184" s="14">
        <f>AI184*VLOOKUP('Données projet'!$B$10,Paramètres!$A$1:$I$89,3,0)*VLOOKUP('Données projet'!$B$10,Paramètres!$A$1:$I$89,5,0)</f>
        <v>1.6759713616920635E-13</v>
      </c>
      <c r="AK184" s="14">
        <f t="shared" si="164"/>
        <v>2.3709043131075133E-12</v>
      </c>
      <c r="AL184" s="22">
        <f t="shared" si="165"/>
        <v>4.4212233574902864E-12</v>
      </c>
      <c r="AM184" s="60">
        <f t="shared" si="113"/>
        <v>293.33333333333775</v>
      </c>
      <c r="AN184" s="60">
        <f ca="1">AVERAGE(OFFSET($AM$3,0,0,'Données projet'!$E$10+1,1))-AVERAGE(OFFSET($H$3,0,0,'Données projet'!$E$10+1,1))</f>
        <v>170.79567854714986</v>
      </c>
      <c r="AO184" s="60">
        <f t="shared" si="144"/>
        <v>155.92788004111191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-1.1368683772161603E-13</v>
      </c>
      <c r="BE184" s="14">
        <f>BD184*VLOOKUP('Données projet'!$B$11,Paramètres!$A$1:$I$89,3,0)*VLOOKUP('Données projet'!$B$11,Paramètres!$A$1:$I$89,5,0)</f>
        <v>-9.2222762759774927E-14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256.19915261735281</v>
      </c>
      <c r="BJ184" s="60">
        <f t="shared" si="146"/>
        <v>297.47246687305056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-5.6843418860808015E-14</v>
      </c>
      <c r="BZ184" s="14">
        <f>BY184*VLOOKUP('Données projet'!$B$12,Paramètres!$A$1:$I$89,3,0)*VLOOKUP('Données projet'!$B$12,Paramètres!$A$1:$I$89,5,0)</f>
        <v>-5.4092197387944907E-14</v>
      </c>
      <c r="CA184" s="14" t="e">
        <f t="shared" si="170"/>
        <v>#NUM!</v>
      </c>
      <c r="CB184" s="22" t="e">
        <f t="shared" si="171"/>
        <v>#NUM!</v>
      </c>
      <c r="CC184" s="60" t="e">
        <f t="shared" si="119"/>
        <v>#NUM!</v>
      </c>
      <c r="CD184" s="60">
        <f ca="1">AVERAGE(OFFSET($CC$3,0,0,'Données projet'!$E$12+1,1))-AVERAGE(OFFSET($H$3,0,0,'Données projet'!$E$12+1,1))</f>
        <v>353.53401919391234</v>
      </c>
      <c r="CE184" s="60">
        <f t="shared" si="148"/>
        <v>244.7141066773861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-9.0949470177292824E-13</v>
      </c>
      <c r="CU184" s="18">
        <f>CT184*VLOOKUP('Données projet'!$B$13,Paramètres!$A$1:$I$89,3,0)*VLOOKUP('Données projet'!$B$13,Paramètres!$A$1:$I$89,5,0)</f>
        <v>-7.6615833677351478E-13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403.33327536410098</v>
      </c>
      <c r="CZ184" s="60">
        <f t="shared" si="150"/>
        <v>218.26721063098552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3.4106051316484809E-13</v>
      </c>
      <c r="DP184" s="18">
        <f>DO184*VLOOKUP('Données projet'!$B$14,Paramètres!$A$1:$I$89,3,0)*VLOOKUP('Données projet'!$B$14,Paramètres!$A$1:$I$89,5,0)</f>
        <v>2.7134774427395314E-13</v>
      </c>
      <c r="DQ184" s="14">
        <f t="shared" si="176"/>
        <v>3.6292411711343559E-12</v>
      </c>
      <c r="DR184" s="22">
        <f t="shared" si="177"/>
        <v>6.7935256943361388E-12</v>
      </c>
      <c r="DS184" s="60">
        <f t="shared" si="125"/>
        <v>293.33333333334014</v>
      </c>
      <c r="DT184" s="60">
        <f ca="1">AVERAGE(OFFSET($DS$3,0,0,'Données projet'!$E$14+1,1))-AVERAGE(OFFSET($H$3,0,0,'Données projet'!$E$14+1,1))</f>
        <v>317.13087551964747</v>
      </c>
      <c r="DU184" s="60">
        <f t="shared" si="152"/>
        <v>293.43300041793185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1.7053025658242404E-13</v>
      </c>
      <c r="EK184" s="18">
        <f>EJ184*VLOOKUP('Données projet'!$B$15,Paramètres!$A$1:$I$89,3,0)*VLOOKUP('Données projet'!$B$15,Paramètres!$A$1:$I$89,5,0)</f>
        <v>1.3567387213697657E-13</v>
      </c>
      <c r="EL184" s="14">
        <f t="shared" si="179"/>
        <v>1.9670967679808581E-12</v>
      </c>
      <c r="EM184" s="22">
        <f t="shared" si="180"/>
        <v>3.6623255315385623E-12</v>
      </c>
      <c r="EN184" s="60">
        <f t="shared" si="128"/>
        <v>293.33333333333695</v>
      </c>
      <c r="EO184" s="60">
        <f ca="1">AVERAGE(OFFSET($EN$3,0,0,'Données projet'!$E$15+1,1))-AVERAGE(OFFSET($H$3,0,0,'Données projet'!$E$15+1,1))</f>
        <v>253.03289960511904</v>
      </c>
      <c r="EP184" s="60">
        <f t="shared" si="154"/>
        <v>236.85088713056018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1.7053025658242404E-13</v>
      </c>
      <c r="FF184" s="18">
        <f>FE184*VLOOKUP('Données projet'!$B$16,Paramètres!$A$1:$I$89,3,0)*VLOOKUP('Données projet'!$B$16,Paramètres!$A$1:$I$89,5,0)</f>
        <v>1.4897523215040567E-13</v>
      </c>
      <c r="FG184" s="14">
        <f t="shared" si="182"/>
        <v>2.136562777003313E-12</v>
      </c>
      <c r="FH184" s="22">
        <f t="shared" si="183"/>
        <v>3.9806453659427267E-12</v>
      </c>
      <c r="FI184" s="60">
        <f t="shared" si="131"/>
        <v>293.33333333333729</v>
      </c>
      <c r="FJ184" s="60">
        <f ca="1">AVERAGE(OFFSET($FI$3,0,0,'Données projet'!$E$16+1,1))-AVERAGE(OFFSET($H$3,0,0,'Données projet'!$E$16+1,1))</f>
        <v>274.38315511766132</v>
      </c>
      <c r="FK184" s="60">
        <f t="shared" si="156"/>
        <v>255.96663040027175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-1.1368683772161603E-13</v>
      </c>
      <c r="GA184" s="18">
        <f>FZ184*VLOOKUP('Données projet'!$B$17,Paramètres!$A$1:$I$89,3,0)*VLOOKUP('Données projet'!$B$17,Paramètres!$A$1:$I$89,5,0)</f>
        <v>-9.7543306765146564E-14</v>
      </c>
      <c r="GB184" s="14" t="e">
        <f t="shared" si="185"/>
        <v>#NUM!</v>
      </c>
      <c r="GC184" s="22" t="e">
        <f t="shared" si="186"/>
        <v>#NUM!</v>
      </c>
      <c r="GD184" s="60" t="e">
        <f t="shared" si="134"/>
        <v>#NUM!</v>
      </c>
      <c r="GE184" s="60">
        <f ca="1">AVERAGE(OFFSET($GD$3,0,0,'Données projet'!$E$17+1,1))-AVERAGE(OFFSET($H$3,0,0,'Données projet'!$E$17+1,1))</f>
        <v>445.81166342116865</v>
      </c>
      <c r="GF184" s="60">
        <f t="shared" si="158"/>
        <v>230.82970731138215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5.6843418860808015E-14</v>
      </c>
      <c r="GV184" s="18">
        <f>GU184*VLOOKUP('Données projet'!$B$18,Paramètres!$A$1:$I$89,3,0)*VLOOKUP('Données projet'!$B$18,Paramètres!$A$1:$I$89,5,0)</f>
        <v>4.4337866711430253E-14</v>
      </c>
      <c r="GW184" s="14">
        <f t="shared" si="188"/>
        <v>7.3222115536967035E-13</v>
      </c>
      <c r="GX184" s="22">
        <f t="shared" si="189"/>
        <v>1.3525069634579169E-12</v>
      </c>
      <c r="GY184" s="60">
        <f t="shared" si="137"/>
        <v>293.33333333333468</v>
      </c>
      <c r="GZ184" s="60">
        <f ca="1">AVERAGE(OFFSET($GY$3,0,0,'Données projet'!$E$18+1,1))-AVERAGE(OFFSET($H$3,0,0,'Données projet'!$E$18+1,1))</f>
        <v>289.19475369871481</v>
      </c>
      <c r="HA184" s="60">
        <f t="shared" si="160"/>
        <v>283.48738729114024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projet'!$B$18,Paramètres!$A$1:$I$89,3,0)*0.475*44/12</f>
        <v>0</v>
      </c>
      <c r="HH184" s="23">
        <f>EXP(-LN(2)/25)*HH183+(1-EXP(-LN(2)/25))/(LN(2)/25)*Calculateur!HC184*Calculateur!HE184*VLOOKUP('Données projet'!$B$18,Paramètres!$A$1:$I$89,3,0)*0.475*44/12</f>
        <v>0</v>
      </c>
      <c r="HI184" s="23">
        <f>EXP(-LN(2)/2)*HI183+(1-EXP(-LN(2)/2))/(LN(2)/2)*HC184*HF184*VLOOKUP('Données projet'!$B$18,Paramètres!$A$1:$I$89,3,0)*0.475*44/12</f>
        <v>0</v>
      </c>
      <c r="HJ184" s="24">
        <f t="shared" si="190"/>
        <v>0</v>
      </c>
    </row>
    <row r="185" spans="1:218" x14ac:dyDescent="0.3">
      <c r="A185" s="11">
        <f t="shared" si="161"/>
        <v>182</v>
      </c>
      <c r="B185" s="75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8">
        <f t="shared" si="110"/>
        <v>256.66666666666669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-9.0949470177292824E-13</v>
      </c>
      <c r="O185" s="14">
        <f>N185*VLOOKUP('Données projet'!$B$9,Paramètres!$A$1:$I$89,3,0)*VLOOKUP('Données projet'!$B$9,Paramètres!$A$1:$I$89,5,0)</f>
        <v>-8.7966327555477625E-13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456.86147223520601</v>
      </c>
      <c r="T185" s="60">
        <f t="shared" si="142"/>
        <v>244.45149244446094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2.5579538487363607E-13</v>
      </c>
      <c r="AJ185" s="14">
        <f>AI185*VLOOKUP('Données projet'!$B$10,Paramètres!$A$1:$I$89,3,0)*VLOOKUP('Données projet'!$B$10,Paramètres!$A$1:$I$89,5,0)</f>
        <v>1.6759713616920635E-13</v>
      </c>
      <c r="AK185" s="14">
        <f t="shared" si="164"/>
        <v>2.3709043131075133E-12</v>
      </c>
      <c r="AL185" s="22">
        <f t="shared" si="165"/>
        <v>4.4212233574902864E-12</v>
      </c>
      <c r="AM185" s="60">
        <f t="shared" si="113"/>
        <v>293.33333333333775</v>
      </c>
      <c r="AN185" s="60">
        <f ca="1">AVERAGE(OFFSET($AM$3,0,0,'Données projet'!$E$10+1,1))-AVERAGE(OFFSET($H$3,0,0,'Données projet'!$E$10+1,1))</f>
        <v>170.79567854714986</v>
      </c>
      <c r="AO185" s="60">
        <f t="shared" si="144"/>
        <v>155.92788004111191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-1.1368683772161603E-13</v>
      </c>
      <c r="BE185" s="14">
        <f>BD185*VLOOKUP('Données projet'!$B$11,Paramètres!$A$1:$I$89,3,0)*VLOOKUP('Données projet'!$B$11,Paramètres!$A$1:$I$89,5,0)</f>
        <v>-9.2222762759774927E-14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256.19915261735281</v>
      </c>
      <c r="BJ185" s="60">
        <f t="shared" si="146"/>
        <v>297.47246687305056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-5.6843418860808015E-14</v>
      </c>
      <c r="BZ185" s="14">
        <f>BY185*VLOOKUP('Données projet'!$B$12,Paramètres!$A$1:$I$89,3,0)*VLOOKUP('Données projet'!$B$12,Paramètres!$A$1:$I$89,5,0)</f>
        <v>-5.4092197387944907E-14</v>
      </c>
      <c r="CA185" s="14" t="e">
        <f t="shared" si="170"/>
        <v>#NUM!</v>
      </c>
      <c r="CB185" s="22" t="e">
        <f t="shared" si="171"/>
        <v>#NUM!</v>
      </c>
      <c r="CC185" s="60" t="e">
        <f t="shared" si="119"/>
        <v>#NUM!</v>
      </c>
      <c r="CD185" s="60">
        <f ca="1">AVERAGE(OFFSET($CC$3,0,0,'Données projet'!$E$12+1,1))-AVERAGE(OFFSET($H$3,0,0,'Données projet'!$E$12+1,1))</f>
        <v>353.53401919391234</v>
      </c>
      <c r="CE185" s="60">
        <f t="shared" si="148"/>
        <v>244.7141066773861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-9.0949470177292824E-13</v>
      </c>
      <c r="CU185" s="18">
        <f>CT185*VLOOKUP('Données projet'!$B$13,Paramètres!$A$1:$I$89,3,0)*VLOOKUP('Données projet'!$B$13,Paramètres!$A$1:$I$89,5,0)</f>
        <v>-7.6615833677351478E-13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403.33327536410098</v>
      </c>
      <c r="CZ185" s="60">
        <f t="shared" si="150"/>
        <v>218.26721063098552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3.4106051316484809E-13</v>
      </c>
      <c r="DP185" s="18">
        <f>DO185*VLOOKUP('Données projet'!$B$14,Paramètres!$A$1:$I$89,3,0)*VLOOKUP('Données projet'!$B$14,Paramètres!$A$1:$I$89,5,0)</f>
        <v>2.7134774427395314E-13</v>
      </c>
      <c r="DQ185" s="14">
        <f t="shared" si="176"/>
        <v>3.6292411711343559E-12</v>
      </c>
      <c r="DR185" s="22">
        <f t="shared" si="177"/>
        <v>6.7935256943361388E-12</v>
      </c>
      <c r="DS185" s="60">
        <f t="shared" si="125"/>
        <v>293.33333333334014</v>
      </c>
      <c r="DT185" s="60">
        <f ca="1">AVERAGE(OFFSET($DS$3,0,0,'Données projet'!$E$14+1,1))-AVERAGE(OFFSET($H$3,0,0,'Données projet'!$E$14+1,1))</f>
        <v>317.13087551964747</v>
      </c>
      <c r="DU185" s="60">
        <f t="shared" si="152"/>
        <v>293.43300041793185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1.7053025658242404E-13</v>
      </c>
      <c r="EK185" s="18">
        <f>EJ185*VLOOKUP('Données projet'!$B$15,Paramètres!$A$1:$I$89,3,0)*VLOOKUP('Données projet'!$B$15,Paramètres!$A$1:$I$89,5,0)</f>
        <v>1.3567387213697657E-13</v>
      </c>
      <c r="EL185" s="14">
        <f t="shared" si="179"/>
        <v>1.9670967679808581E-12</v>
      </c>
      <c r="EM185" s="22">
        <f t="shared" si="180"/>
        <v>3.6623255315385623E-12</v>
      </c>
      <c r="EN185" s="60">
        <f t="shared" si="128"/>
        <v>293.33333333333695</v>
      </c>
      <c r="EO185" s="60">
        <f ca="1">AVERAGE(OFFSET($EN$3,0,0,'Données projet'!$E$15+1,1))-AVERAGE(OFFSET($H$3,0,0,'Données projet'!$E$15+1,1))</f>
        <v>253.03289960511904</v>
      </c>
      <c r="EP185" s="60">
        <f t="shared" si="154"/>
        <v>236.85088713056018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1.7053025658242404E-13</v>
      </c>
      <c r="FF185" s="18">
        <f>FE185*VLOOKUP('Données projet'!$B$16,Paramètres!$A$1:$I$89,3,0)*VLOOKUP('Données projet'!$B$16,Paramètres!$A$1:$I$89,5,0)</f>
        <v>1.4897523215040567E-13</v>
      </c>
      <c r="FG185" s="14">
        <f t="shared" si="182"/>
        <v>2.136562777003313E-12</v>
      </c>
      <c r="FH185" s="22">
        <f t="shared" si="183"/>
        <v>3.9806453659427267E-12</v>
      </c>
      <c r="FI185" s="60">
        <f t="shared" si="131"/>
        <v>293.33333333333729</v>
      </c>
      <c r="FJ185" s="60">
        <f ca="1">AVERAGE(OFFSET($FI$3,0,0,'Données projet'!$E$16+1,1))-AVERAGE(OFFSET($H$3,0,0,'Données projet'!$E$16+1,1))</f>
        <v>274.38315511766132</v>
      </c>
      <c r="FK185" s="60">
        <f t="shared" si="156"/>
        <v>255.96663040027175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-1.1368683772161603E-13</v>
      </c>
      <c r="GA185" s="18">
        <f>FZ185*VLOOKUP('Données projet'!$B$17,Paramètres!$A$1:$I$89,3,0)*VLOOKUP('Données projet'!$B$17,Paramètres!$A$1:$I$89,5,0)</f>
        <v>-9.7543306765146564E-14</v>
      </c>
      <c r="GB185" s="14" t="e">
        <f t="shared" si="185"/>
        <v>#NUM!</v>
      </c>
      <c r="GC185" s="22" t="e">
        <f t="shared" si="186"/>
        <v>#NUM!</v>
      </c>
      <c r="GD185" s="60" t="e">
        <f t="shared" si="134"/>
        <v>#NUM!</v>
      </c>
      <c r="GE185" s="60">
        <f ca="1">AVERAGE(OFFSET($GD$3,0,0,'Données projet'!$E$17+1,1))-AVERAGE(OFFSET($H$3,0,0,'Données projet'!$E$17+1,1))</f>
        <v>445.81166342116865</v>
      </c>
      <c r="GF185" s="60">
        <f t="shared" si="158"/>
        <v>230.82970731138215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5.6843418860808015E-14</v>
      </c>
      <c r="GV185" s="18">
        <f>GU185*VLOOKUP('Données projet'!$B$18,Paramètres!$A$1:$I$89,3,0)*VLOOKUP('Données projet'!$B$18,Paramètres!$A$1:$I$89,5,0)</f>
        <v>4.4337866711430253E-14</v>
      </c>
      <c r="GW185" s="14">
        <f t="shared" si="188"/>
        <v>7.3222115536967035E-13</v>
      </c>
      <c r="GX185" s="22">
        <f t="shared" si="189"/>
        <v>1.3525069634579169E-12</v>
      </c>
      <c r="GY185" s="60">
        <f t="shared" si="137"/>
        <v>293.33333333333468</v>
      </c>
      <c r="GZ185" s="60">
        <f ca="1">AVERAGE(OFFSET($GY$3,0,0,'Données projet'!$E$18+1,1))-AVERAGE(OFFSET($H$3,0,0,'Données projet'!$E$18+1,1))</f>
        <v>289.19475369871481</v>
      </c>
      <c r="HA185" s="60">
        <f t="shared" si="160"/>
        <v>283.48738729114024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projet'!$B$18,Paramètres!$A$1:$I$89,3,0)*0.475*44/12</f>
        <v>0</v>
      </c>
      <c r="HH185" s="23">
        <f>EXP(-LN(2)/25)*HH184+(1-EXP(-LN(2)/25))/(LN(2)/25)*Calculateur!HC185*Calculateur!HE185*VLOOKUP('Données projet'!$B$18,Paramètres!$A$1:$I$89,3,0)*0.475*44/12</f>
        <v>0</v>
      </c>
      <c r="HI185" s="23">
        <f>EXP(-LN(2)/2)*HI184+(1-EXP(-LN(2)/2))/(LN(2)/2)*HC185*HF185*VLOOKUP('Données projet'!$B$18,Paramètres!$A$1:$I$89,3,0)*0.475*44/12</f>
        <v>0</v>
      </c>
      <c r="HJ185" s="24">
        <f t="shared" si="190"/>
        <v>0</v>
      </c>
    </row>
    <row r="186" spans="1:218" x14ac:dyDescent="0.3">
      <c r="A186" s="11">
        <f t="shared" si="161"/>
        <v>183</v>
      </c>
      <c r="B186" s="75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8">
        <f t="shared" si="110"/>
        <v>256.66666666666669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-9.0949470177292824E-13</v>
      </c>
      <c r="O186" s="14">
        <f>N186*VLOOKUP('Données projet'!$B$9,Paramètres!$A$1:$I$89,3,0)*VLOOKUP('Données projet'!$B$9,Paramètres!$A$1:$I$89,5,0)</f>
        <v>-8.7966327555477625E-13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456.86147223520601</v>
      </c>
      <c r="T186" s="60">
        <f t="shared" si="142"/>
        <v>244.45149244446094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2.5579538487363607E-13</v>
      </c>
      <c r="AJ186" s="14">
        <f>AI186*VLOOKUP('Données projet'!$B$10,Paramètres!$A$1:$I$89,3,0)*VLOOKUP('Données projet'!$B$10,Paramètres!$A$1:$I$89,5,0)</f>
        <v>1.6759713616920635E-13</v>
      </c>
      <c r="AK186" s="14">
        <f t="shared" si="164"/>
        <v>2.3709043131075133E-12</v>
      </c>
      <c r="AL186" s="22">
        <f t="shared" si="165"/>
        <v>4.4212233574902864E-12</v>
      </c>
      <c r="AM186" s="60">
        <f t="shared" si="113"/>
        <v>293.33333333333775</v>
      </c>
      <c r="AN186" s="60">
        <f ca="1">AVERAGE(OFFSET($AM$3,0,0,'Données projet'!$E$10+1,1))-AVERAGE(OFFSET($H$3,0,0,'Données projet'!$E$10+1,1))</f>
        <v>170.79567854714986</v>
      </c>
      <c r="AO186" s="60">
        <f t="shared" si="144"/>
        <v>155.92788004111191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-1.1368683772161603E-13</v>
      </c>
      <c r="BE186" s="14">
        <f>BD186*VLOOKUP('Données projet'!$B$11,Paramètres!$A$1:$I$89,3,0)*VLOOKUP('Données projet'!$B$11,Paramètres!$A$1:$I$89,5,0)</f>
        <v>-9.2222762759774927E-14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256.19915261735281</v>
      </c>
      <c r="BJ186" s="60">
        <f t="shared" si="146"/>
        <v>297.47246687305056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-5.6843418860808015E-14</v>
      </c>
      <c r="BZ186" s="14">
        <f>BY186*VLOOKUP('Données projet'!$B$12,Paramètres!$A$1:$I$89,3,0)*VLOOKUP('Données projet'!$B$12,Paramètres!$A$1:$I$89,5,0)</f>
        <v>-5.4092197387944907E-14</v>
      </c>
      <c r="CA186" s="14" t="e">
        <f t="shared" si="170"/>
        <v>#NUM!</v>
      </c>
      <c r="CB186" s="22" t="e">
        <f t="shared" si="171"/>
        <v>#NUM!</v>
      </c>
      <c r="CC186" s="60" t="e">
        <f t="shared" si="119"/>
        <v>#NUM!</v>
      </c>
      <c r="CD186" s="60">
        <f ca="1">AVERAGE(OFFSET($CC$3,0,0,'Données projet'!$E$12+1,1))-AVERAGE(OFFSET($H$3,0,0,'Données projet'!$E$12+1,1))</f>
        <v>353.53401919391234</v>
      </c>
      <c r="CE186" s="60">
        <f t="shared" si="148"/>
        <v>244.7141066773861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-9.0949470177292824E-13</v>
      </c>
      <c r="CU186" s="18">
        <f>CT186*VLOOKUP('Données projet'!$B$13,Paramètres!$A$1:$I$89,3,0)*VLOOKUP('Données projet'!$B$13,Paramètres!$A$1:$I$89,5,0)</f>
        <v>-7.6615833677351478E-13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403.33327536410098</v>
      </c>
      <c r="CZ186" s="60">
        <f t="shared" si="150"/>
        <v>218.26721063098552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3.4106051316484809E-13</v>
      </c>
      <c r="DP186" s="18">
        <f>DO186*VLOOKUP('Données projet'!$B$14,Paramètres!$A$1:$I$89,3,0)*VLOOKUP('Données projet'!$B$14,Paramètres!$A$1:$I$89,5,0)</f>
        <v>2.7134774427395314E-13</v>
      </c>
      <c r="DQ186" s="14">
        <f t="shared" si="176"/>
        <v>3.6292411711343559E-12</v>
      </c>
      <c r="DR186" s="22">
        <f t="shared" si="177"/>
        <v>6.7935256943361388E-12</v>
      </c>
      <c r="DS186" s="60">
        <f t="shared" si="125"/>
        <v>293.33333333334014</v>
      </c>
      <c r="DT186" s="60">
        <f ca="1">AVERAGE(OFFSET($DS$3,0,0,'Données projet'!$E$14+1,1))-AVERAGE(OFFSET($H$3,0,0,'Données projet'!$E$14+1,1))</f>
        <v>317.13087551964747</v>
      </c>
      <c r="DU186" s="60">
        <f t="shared" si="152"/>
        <v>293.43300041793185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1.7053025658242404E-13</v>
      </c>
      <c r="EK186" s="18">
        <f>EJ186*VLOOKUP('Données projet'!$B$15,Paramètres!$A$1:$I$89,3,0)*VLOOKUP('Données projet'!$B$15,Paramètres!$A$1:$I$89,5,0)</f>
        <v>1.3567387213697657E-13</v>
      </c>
      <c r="EL186" s="14">
        <f t="shared" si="179"/>
        <v>1.9670967679808581E-12</v>
      </c>
      <c r="EM186" s="22">
        <f t="shared" si="180"/>
        <v>3.6623255315385623E-12</v>
      </c>
      <c r="EN186" s="60">
        <f t="shared" si="128"/>
        <v>293.33333333333695</v>
      </c>
      <c r="EO186" s="60">
        <f ca="1">AVERAGE(OFFSET($EN$3,0,0,'Données projet'!$E$15+1,1))-AVERAGE(OFFSET($H$3,0,0,'Données projet'!$E$15+1,1))</f>
        <v>253.03289960511904</v>
      </c>
      <c r="EP186" s="60">
        <f t="shared" si="154"/>
        <v>236.85088713056018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1.7053025658242404E-13</v>
      </c>
      <c r="FF186" s="18">
        <f>FE186*VLOOKUP('Données projet'!$B$16,Paramètres!$A$1:$I$89,3,0)*VLOOKUP('Données projet'!$B$16,Paramètres!$A$1:$I$89,5,0)</f>
        <v>1.4897523215040567E-13</v>
      </c>
      <c r="FG186" s="14">
        <f t="shared" si="182"/>
        <v>2.136562777003313E-12</v>
      </c>
      <c r="FH186" s="22">
        <f t="shared" si="183"/>
        <v>3.9806453659427267E-12</v>
      </c>
      <c r="FI186" s="60">
        <f t="shared" si="131"/>
        <v>293.33333333333729</v>
      </c>
      <c r="FJ186" s="60">
        <f ca="1">AVERAGE(OFFSET($FI$3,0,0,'Données projet'!$E$16+1,1))-AVERAGE(OFFSET($H$3,0,0,'Données projet'!$E$16+1,1))</f>
        <v>274.38315511766132</v>
      </c>
      <c r="FK186" s="60">
        <f t="shared" si="156"/>
        <v>255.96663040027175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-1.1368683772161603E-13</v>
      </c>
      <c r="GA186" s="18">
        <f>FZ186*VLOOKUP('Données projet'!$B$17,Paramètres!$A$1:$I$89,3,0)*VLOOKUP('Données projet'!$B$17,Paramètres!$A$1:$I$89,5,0)</f>
        <v>-9.7543306765146564E-14</v>
      </c>
      <c r="GB186" s="14" t="e">
        <f t="shared" si="185"/>
        <v>#NUM!</v>
      </c>
      <c r="GC186" s="22" t="e">
        <f t="shared" si="186"/>
        <v>#NUM!</v>
      </c>
      <c r="GD186" s="60" t="e">
        <f t="shared" si="134"/>
        <v>#NUM!</v>
      </c>
      <c r="GE186" s="60">
        <f ca="1">AVERAGE(OFFSET($GD$3,0,0,'Données projet'!$E$17+1,1))-AVERAGE(OFFSET($H$3,0,0,'Données projet'!$E$17+1,1))</f>
        <v>445.81166342116865</v>
      </c>
      <c r="GF186" s="60">
        <f t="shared" si="158"/>
        <v>230.82970731138215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5.6843418860808015E-14</v>
      </c>
      <c r="GV186" s="18">
        <f>GU186*VLOOKUP('Données projet'!$B$18,Paramètres!$A$1:$I$89,3,0)*VLOOKUP('Données projet'!$B$18,Paramètres!$A$1:$I$89,5,0)</f>
        <v>4.4337866711430253E-14</v>
      </c>
      <c r="GW186" s="14">
        <f t="shared" si="188"/>
        <v>7.3222115536967035E-13</v>
      </c>
      <c r="GX186" s="22">
        <f t="shared" si="189"/>
        <v>1.3525069634579169E-12</v>
      </c>
      <c r="GY186" s="60">
        <f t="shared" si="137"/>
        <v>293.33333333333468</v>
      </c>
      <c r="GZ186" s="60">
        <f ca="1">AVERAGE(OFFSET($GY$3,0,0,'Données projet'!$E$18+1,1))-AVERAGE(OFFSET($H$3,0,0,'Données projet'!$E$18+1,1))</f>
        <v>289.19475369871481</v>
      </c>
      <c r="HA186" s="60">
        <f t="shared" si="160"/>
        <v>283.48738729114024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projet'!$B$18,Paramètres!$A$1:$I$89,3,0)*0.475*44/12</f>
        <v>0</v>
      </c>
      <c r="HH186" s="23">
        <f>EXP(-LN(2)/25)*HH185+(1-EXP(-LN(2)/25))/(LN(2)/25)*Calculateur!HC186*Calculateur!HE186*VLOOKUP('Données projet'!$B$18,Paramètres!$A$1:$I$89,3,0)*0.475*44/12</f>
        <v>0</v>
      </c>
      <c r="HI186" s="23">
        <f>EXP(-LN(2)/2)*HI185+(1-EXP(-LN(2)/2))/(LN(2)/2)*HC186*HF186*VLOOKUP('Données projet'!$B$18,Paramètres!$A$1:$I$89,3,0)*0.475*44/12</f>
        <v>0</v>
      </c>
      <c r="HJ186" s="24">
        <f t="shared" si="190"/>
        <v>0</v>
      </c>
    </row>
    <row r="187" spans="1:218" x14ac:dyDescent="0.3">
      <c r="A187" s="11">
        <f t="shared" si="161"/>
        <v>184</v>
      </c>
      <c r="B187" s="75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8">
        <f t="shared" si="110"/>
        <v>256.66666666666669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-9.0949470177292824E-13</v>
      </c>
      <c r="O187" s="14">
        <f>N187*VLOOKUP('Données projet'!$B$9,Paramètres!$A$1:$I$89,3,0)*VLOOKUP('Données projet'!$B$9,Paramètres!$A$1:$I$89,5,0)</f>
        <v>-8.7966327555477625E-13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456.86147223520601</v>
      </c>
      <c r="T187" s="60">
        <f t="shared" si="142"/>
        <v>244.45149244446094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2.5579538487363607E-13</v>
      </c>
      <c r="AJ187" s="14">
        <f>AI187*VLOOKUP('Données projet'!$B$10,Paramètres!$A$1:$I$89,3,0)*VLOOKUP('Données projet'!$B$10,Paramètres!$A$1:$I$89,5,0)</f>
        <v>1.6759713616920635E-13</v>
      </c>
      <c r="AK187" s="14">
        <f t="shared" si="164"/>
        <v>2.3709043131075133E-12</v>
      </c>
      <c r="AL187" s="22">
        <f t="shared" si="165"/>
        <v>4.4212233574902864E-12</v>
      </c>
      <c r="AM187" s="60">
        <f t="shared" si="113"/>
        <v>293.33333333333775</v>
      </c>
      <c r="AN187" s="60">
        <f ca="1">AVERAGE(OFFSET($AM$3,0,0,'Données projet'!$E$10+1,1))-AVERAGE(OFFSET($H$3,0,0,'Données projet'!$E$10+1,1))</f>
        <v>170.79567854714986</v>
      </c>
      <c r="AO187" s="60">
        <f t="shared" si="144"/>
        <v>155.92788004111191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-1.1368683772161603E-13</v>
      </c>
      <c r="BE187" s="14">
        <f>BD187*VLOOKUP('Données projet'!$B$11,Paramètres!$A$1:$I$89,3,0)*VLOOKUP('Données projet'!$B$11,Paramètres!$A$1:$I$89,5,0)</f>
        <v>-9.2222762759774927E-14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256.19915261735281</v>
      </c>
      <c r="BJ187" s="60">
        <f t="shared" si="146"/>
        <v>297.47246687305056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-5.6843418860808015E-14</v>
      </c>
      <c r="BZ187" s="14">
        <f>BY187*VLOOKUP('Données projet'!$B$12,Paramètres!$A$1:$I$89,3,0)*VLOOKUP('Données projet'!$B$12,Paramètres!$A$1:$I$89,5,0)</f>
        <v>-5.4092197387944907E-14</v>
      </c>
      <c r="CA187" s="14" t="e">
        <f t="shared" si="170"/>
        <v>#NUM!</v>
      </c>
      <c r="CB187" s="22" t="e">
        <f t="shared" si="171"/>
        <v>#NUM!</v>
      </c>
      <c r="CC187" s="60" t="e">
        <f t="shared" si="119"/>
        <v>#NUM!</v>
      </c>
      <c r="CD187" s="60">
        <f ca="1">AVERAGE(OFFSET($CC$3,0,0,'Données projet'!$E$12+1,1))-AVERAGE(OFFSET($H$3,0,0,'Données projet'!$E$12+1,1))</f>
        <v>353.53401919391234</v>
      </c>
      <c r="CE187" s="60">
        <f t="shared" si="148"/>
        <v>244.7141066773861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-9.0949470177292824E-13</v>
      </c>
      <c r="CU187" s="18">
        <f>CT187*VLOOKUP('Données projet'!$B$13,Paramètres!$A$1:$I$89,3,0)*VLOOKUP('Données projet'!$B$13,Paramètres!$A$1:$I$89,5,0)</f>
        <v>-7.6615833677351478E-13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403.33327536410098</v>
      </c>
      <c r="CZ187" s="60">
        <f t="shared" si="150"/>
        <v>218.26721063098552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3.4106051316484809E-13</v>
      </c>
      <c r="DP187" s="18">
        <f>DO187*VLOOKUP('Données projet'!$B$14,Paramètres!$A$1:$I$89,3,0)*VLOOKUP('Données projet'!$B$14,Paramètres!$A$1:$I$89,5,0)</f>
        <v>2.7134774427395314E-13</v>
      </c>
      <c r="DQ187" s="14">
        <f t="shared" si="176"/>
        <v>3.6292411711343559E-12</v>
      </c>
      <c r="DR187" s="22">
        <f t="shared" si="177"/>
        <v>6.7935256943361388E-12</v>
      </c>
      <c r="DS187" s="60">
        <f t="shared" si="125"/>
        <v>293.33333333334014</v>
      </c>
      <c r="DT187" s="60">
        <f ca="1">AVERAGE(OFFSET($DS$3,0,0,'Données projet'!$E$14+1,1))-AVERAGE(OFFSET($H$3,0,0,'Données projet'!$E$14+1,1))</f>
        <v>317.13087551964747</v>
      </c>
      <c r="DU187" s="60">
        <f t="shared" si="152"/>
        <v>293.43300041793185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1.7053025658242404E-13</v>
      </c>
      <c r="EK187" s="18">
        <f>EJ187*VLOOKUP('Données projet'!$B$15,Paramètres!$A$1:$I$89,3,0)*VLOOKUP('Données projet'!$B$15,Paramètres!$A$1:$I$89,5,0)</f>
        <v>1.3567387213697657E-13</v>
      </c>
      <c r="EL187" s="14">
        <f t="shared" si="179"/>
        <v>1.9670967679808581E-12</v>
      </c>
      <c r="EM187" s="22">
        <f t="shared" si="180"/>
        <v>3.6623255315385623E-12</v>
      </c>
      <c r="EN187" s="60">
        <f t="shared" si="128"/>
        <v>293.33333333333695</v>
      </c>
      <c r="EO187" s="60">
        <f ca="1">AVERAGE(OFFSET($EN$3,0,0,'Données projet'!$E$15+1,1))-AVERAGE(OFFSET($H$3,0,0,'Données projet'!$E$15+1,1))</f>
        <v>253.03289960511904</v>
      </c>
      <c r="EP187" s="60">
        <f t="shared" si="154"/>
        <v>236.85088713056018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1.7053025658242404E-13</v>
      </c>
      <c r="FF187" s="18">
        <f>FE187*VLOOKUP('Données projet'!$B$16,Paramètres!$A$1:$I$89,3,0)*VLOOKUP('Données projet'!$B$16,Paramètres!$A$1:$I$89,5,0)</f>
        <v>1.4897523215040567E-13</v>
      </c>
      <c r="FG187" s="14">
        <f t="shared" si="182"/>
        <v>2.136562777003313E-12</v>
      </c>
      <c r="FH187" s="22">
        <f t="shared" si="183"/>
        <v>3.9806453659427267E-12</v>
      </c>
      <c r="FI187" s="60">
        <f t="shared" si="131"/>
        <v>293.33333333333729</v>
      </c>
      <c r="FJ187" s="60">
        <f ca="1">AVERAGE(OFFSET($FI$3,0,0,'Données projet'!$E$16+1,1))-AVERAGE(OFFSET($H$3,0,0,'Données projet'!$E$16+1,1))</f>
        <v>274.38315511766132</v>
      </c>
      <c r="FK187" s="60">
        <f t="shared" si="156"/>
        <v>255.96663040027175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-1.1368683772161603E-13</v>
      </c>
      <c r="GA187" s="18">
        <f>FZ187*VLOOKUP('Données projet'!$B$17,Paramètres!$A$1:$I$89,3,0)*VLOOKUP('Données projet'!$B$17,Paramètres!$A$1:$I$89,5,0)</f>
        <v>-9.7543306765146564E-14</v>
      </c>
      <c r="GB187" s="14" t="e">
        <f t="shared" si="185"/>
        <v>#NUM!</v>
      </c>
      <c r="GC187" s="22" t="e">
        <f t="shared" si="186"/>
        <v>#NUM!</v>
      </c>
      <c r="GD187" s="60" t="e">
        <f t="shared" si="134"/>
        <v>#NUM!</v>
      </c>
      <c r="GE187" s="60">
        <f ca="1">AVERAGE(OFFSET($GD$3,0,0,'Données projet'!$E$17+1,1))-AVERAGE(OFFSET($H$3,0,0,'Données projet'!$E$17+1,1))</f>
        <v>445.81166342116865</v>
      </c>
      <c r="GF187" s="60">
        <f t="shared" si="158"/>
        <v>230.82970731138215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5.6843418860808015E-14</v>
      </c>
      <c r="GV187" s="18">
        <f>GU187*VLOOKUP('Données projet'!$B$18,Paramètres!$A$1:$I$89,3,0)*VLOOKUP('Données projet'!$B$18,Paramètres!$A$1:$I$89,5,0)</f>
        <v>4.4337866711430253E-14</v>
      </c>
      <c r="GW187" s="14">
        <f t="shared" si="188"/>
        <v>7.3222115536967035E-13</v>
      </c>
      <c r="GX187" s="22">
        <f t="shared" si="189"/>
        <v>1.3525069634579169E-12</v>
      </c>
      <c r="GY187" s="60">
        <f t="shared" si="137"/>
        <v>293.33333333333468</v>
      </c>
      <c r="GZ187" s="60">
        <f ca="1">AVERAGE(OFFSET($GY$3,0,0,'Données projet'!$E$18+1,1))-AVERAGE(OFFSET($H$3,0,0,'Données projet'!$E$18+1,1))</f>
        <v>289.19475369871481</v>
      </c>
      <c r="HA187" s="60">
        <f t="shared" si="160"/>
        <v>283.48738729114024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projet'!$B$18,Paramètres!$A$1:$I$89,3,0)*0.475*44/12</f>
        <v>0</v>
      </c>
      <c r="HH187" s="23">
        <f>EXP(-LN(2)/25)*HH186+(1-EXP(-LN(2)/25))/(LN(2)/25)*Calculateur!HC187*Calculateur!HE187*VLOOKUP('Données projet'!$B$18,Paramètres!$A$1:$I$89,3,0)*0.475*44/12</f>
        <v>0</v>
      </c>
      <c r="HI187" s="23">
        <f>EXP(-LN(2)/2)*HI186+(1-EXP(-LN(2)/2))/(LN(2)/2)*HC187*HF187*VLOOKUP('Données projet'!$B$18,Paramètres!$A$1:$I$89,3,0)*0.475*44/12</f>
        <v>0</v>
      </c>
      <c r="HJ187" s="24">
        <f t="shared" si="190"/>
        <v>0</v>
      </c>
    </row>
    <row r="188" spans="1:218" x14ac:dyDescent="0.3">
      <c r="A188" s="11">
        <f t="shared" si="161"/>
        <v>185</v>
      </c>
      <c r="B188" s="75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8">
        <f t="shared" si="110"/>
        <v>256.66666666666669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-9.0949470177292824E-13</v>
      </c>
      <c r="O188" s="14">
        <f>N188*VLOOKUP('Données projet'!$B$9,Paramètres!$A$1:$I$89,3,0)*VLOOKUP('Données projet'!$B$9,Paramètres!$A$1:$I$89,5,0)</f>
        <v>-8.7966327555477625E-13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456.86147223520601</v>
      </c>
      <c r="T188" s="60">
        <f t="shared" si="142"/>
        <v>244.45149244446094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2.5579538487363607E-13</v>
      </c>
      <c r="AJ188" s="14">
        <f>AI188*VLOOKUP('Données projet'!$B$10,Paramètres!$A$1:$I$89,3,0)*VLOOKUP('Données projet'!$B$10,Paramètres!$A$1:$I$89,5,0)</f>
        <v>1.6759713616920635E-13</v>
      </c>
      <c r="AK188" s="14">
        <f t="shared" si="164"/>
        <v>2.3709043131075133E-12</v>
      </c>
      <c r="AL188" s="22">
        <f t="shared" si="165"/>
        <v>4.4212233574902864E-12</v>
      </c>
      <c r="AM188" s="60">
        <f t="shared" si="113"/>
        <v>293.33333333333775</v>
      </c>
      <c r="AN188" s="60">
        <f ca="1">AVERAGE(OFFSET($AM$3,0,0,'Données projet'!$E$10+1,1))-AVERAGE(OFFSET($H$3,0,0,'Données projet'!$E$10+1,1))</f>
        <v>170.79567854714986</v>
      </c>
      <c r="AO188" s="60">
        <f t="shared" si="144"/>
        <v>155.92788004111191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-1.1368683772161603E-13</v>
      </c>
      <c r="BE188" s="14">
        <f>BD188*VLOOKUP('Données projet'!$B$11,Paramètres!$A$1:$I$89,3,0)*VLOOKUP('Données projet'!$B$11,Paramètres!$A$1:$I$89,5,0)</f>
        <v>-9.2222762759774927E-14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256.19915261735281</v>
      </c>
      <c r="BJ188" s="60">
        <f t="shared" si="146"/>
        <v>297.47246687305056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-5.6843418860808015E-14</v>
      </c>
      <c r="BZ188" s="14">
        <f>BY188*VLOOKUP('Données projet'!$B$12,Paramètres!$A$1:$I$89,3,0)*VLOOKUP('Données projet'!$B$12,Paramètres!$A$1:$I$89,5,0)</f>
        <v>-5.4092197387944907E-14</v>
      </c>
      <c r="CA188" s="14" t="e">
        <f t="shared" si="170"/>
        <v>#NUM!</v>
      </c>
      <c r="CB188" s="22" t="e">
        <f t="shared" si="171"/>
        <v>#NUM!</v>
      </c>
      <c r="CC188" s="60" t="e">
        <f t="shared" si="119"/>
        <v>#NUM!</v>
      </c>
      <c r="CD188" s="60">
        <f ca="1">AVERAGE(OFFSET($CC$3,0,0,'Données projet'!$E$12+1,1))-AVERAGE(OFFSET($H$3,0,0,'Données projet'!$E$12+1,1))</f>
        <v>353.53401919391234</v>
      </c>
      <c r="CE188" s="60">
        <f t="shared" si="148"/>
        <v>244.7141066773861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-9.0949470177292824E-13</v>
      </c>
      <c r="CU188" s="18">
        <f>CT188*VLOOKUP('Données projet'!$B$13,Paramètres!$A$1:$I$89,3,0)*VLOOKUP('Données projet'!$B$13,Paramètres!$A$1:$I$89,5,0)</f>
        <v>-7.6615833677351478E-13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403.33327536410098</v>
      </c>
      <c r="CZ188" s="60">
        <f t="shared" si="150"/>
        <v>218.26721063098552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3.4106051316484809E-13</v>
      </c>
      <c r="DP188" s="18">
        <f>DO188*VLOOKUP('Données projet'!$B$14,Paramètres!$A$1:$I$89,3,0)*VLOOKUP('Données projet'!$B$14,Paramètres!$A$1:$I$89,5,0)</f>
        <v>2.7134774427395314E-13</v>
      </c>
      <c r="DQ188" s="14">
        <f t="shared" si="176"/>
        <v>3.6292411711343559E-12</v>
      </c>
      <c r="DR188" s="22">
        <f t="shared" si="177"/>
        <v>6.7935256943361388E-12</v>
      </c>
      <c r="DS188" s="60">
        <f t="shared" si="125"/>
        <v>293.33333333334014</v>
      </c>
      <c r="DT188" s="60">
        <f ca="1">AVERAGE(OFFSET($DS$3,0,0,'Données projet'!$E$14+1,1))-AVERAGE(OFFSET($H$3,0,0,'Données projet'!$E$14+1,1))</f>
        <v>317.13087551964747</v>
      </c>
      <c r="DU188" s="60">
        <f t="shared" si="152"/>
        <v>293.43300041793185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1.7053025658242404E-13</v>
      </c>
      <c r="EK188" s="18">
        <f>EJ188*VLOOKUP('Données projet'!$B$15,Paramètres!$A$1:$I$89,3,0)*VLOOKUP('Données projet'!$B$15,Paramètres!$A$1:$I$89,5,0)</f>
        <v>1.3567387213697657E-13</v>
      </c>
      <c r="EL188" s="14">
        <f t="shared" si="179"/>
        <v>1.9670967679808581E-12</v>
      </c>
      <c r="EM188" s="22">
        <f t="shared" si="180"/>
        <v>3.6623255315385623E-12</v>
      </c>
      <c r="EN188" s="60">
        <f t="shared" si="128"/>
        <v>293.33333333333695</v>
      </c>
      <c r="EO188" s="60">
        <f ca="1">AVERAGE(OFFSET($EN$3,0,0,'Données projet'!$E$15+1,1))-AVERAGE(OFFSET($H$3,0,0,'Données projet'!$E$15+1,1))</f>
        <v>253.03289960511904</v>
      </c>
      <c r="EP188" s="60">
        <f t="shared" si="154"/>
        <v>236.85088713056018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1.7053025658242404E-13</v>
      </c>
      <c r="FF188" s="18">
        <f>FE188*VLOOKUP('Données projet'!$B$16,Paramètres!$A$1:$I$89,3,0)*VLOOKUP('Données projet'!$B$16,Paramètres!$A$1:$I$89,5,0)</f>
        <v>1.4897523215040567E-13</v>
      </c>
      <c r="FG188" s="14">
        <f t="shared" si="182"/>
        <v>2.136562777003313E-12</v>
      </c>
      <c r="FH188" s="22">
        <f t="shared" si="183"/>
        <v>3.9806453659427267E-12</v>
      </c>
      <c r="FI188" s="60">
        <f t="shared" si="131"/>
        <v>293.33333333333729</v>
      </c>
      <c r="FJ188" s="60">
        <f ca="1">AVERAGE(OFFSET($FI$3,0,0,'Données projet'!$E$16+1,1))-AVERAGE(OFFSET($H$3,0,0,'Données projet'!$E$16+1,1))</f>
        <v>274.38315511766132</v>
      </c>
      <c r="FK188" s="60">
        <f t="shared" si="156"/>
        <v>255.96663040027175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-1.1368683772161603E-13</v>
      </c>
      <c r="GA188" s="18">
        <f>FZ188*VLOOKUP('Données projet'!$B$17,Paramètres!$A$1:$I$89,3,0)*VLOOKUP('Données projet'!$B$17,Paramètres!$A$1:$I$89,5,0)</f>
        <v>-9.7543306765146564E-14</v>
      </c>
      <c r="GB188" s="14" t="e">
        <f t="shared" si="185"/>
        <v>#NUM!</v>
      </c>
      <c r="GC188" s="22" t="e">
        <f t="shared" si="186"/>
        <v>#NUM!</v>
      </c>
      <c r="GD188" s="60" t="e">
        <f t="shared" si="134"/>
        <v>#NUM!</v>
      </c>
      <c r="GE188" s="60">
        <f ca="1">AVERAGE(OFFSET($GD$3,0,0,'Données projet'!$E$17+1,1))-AVERAGE(OFFSET($H$3,0,0,'Données projet'!$E$17+1,1))</f>
        <v>445.81166342116865</v>
      </c>
      <c r="GF188" s="60">
        <f t="shared" si="158"/>
        <v>230.82970731138215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5.6843418860808015E-14</v>
      </c>
      <c r="GV188" s="18">
        <f>GU188*VLOOKUP('Données projet'!$B$18,Paramètres!$A$1:$I$89,3,0)*VLOOKUP('Données projet'!$B$18,Paramètres!$A$1:$I$89,5,0)</f>
        <v>4.4337866711430253E-14</v>
      </c>
      <c r="GW188" s="14">
        <f t="shared" si="188"/>
        <v>7.3222115536967035E-13</v>
      </c>
      <c r="GX188" s="22">
        <f t="shared" si="189"/>
        <v>1.3525069634579169E-12</v>
      </c>
      <c r="GY188" s="60">
        <f t="shared" si="137"/>
        <v>293.33333333333468</v>
      </c>
      <c r="GZ188" s="60">
        <f ca="1">AVERAGE(OFFSET($GY$3,0,0,'Données projet'!$E$18+1,1))-AVERAGE(OFFSET($H$3,0,0,'Données projet'!$E$18+1,1))</f>
        <v>289.19475369871481</v>
      </c>
      <c r="HA188" s="60">
        <f t="shared" si="160"/>
        <v>283.48738729114024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projet'!$B$18,Paramètres!$A$1:$I$89,3,0)*0.475*44/12</f>
        <v>0</v>
      </c>
      <c r="HH188" s="23">
        <f>EXP(-LN(2)/25)*HH187+(1-EXP(-LN(2)/25))/(LN(2)/25)*Calculateur!HC188*Calculateur!HE188*VLOOKUP('Données projet'!$B$18,Paramètres!$A$1:$I$89,3,0)*0.475*44/12</f>
        <v>0</v>
      </c>
      <c r="HI188" s="23">
        <f>EXP(-LN(2)/2)*HI187+(1-EXP(-LN(2)/2))/(LN(2)/2)*HC188*HF188*VLOOKUP('Données projet'!$B$18,Paramètres!$A$1:$I$89,3,0)*0.475*44/12</f>
        <v>0</v>
      </c>
      <c r="HJ188" s="24">
        <f t="shared" si="190"/>
        <v>0</v>
      </c>
    </row>
    <row r="189" spans="1:218" x14ac:dyDescent="0.3">
      <c r="A189" s="11">
        <f t="shared" si="161"/>
        <v>186</v>
      </c>
      <c r="B189" s="75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8">
        <f t="shared" si="110"/>
        <v>256.66666666666669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-9.0949470177292824E-13</v>
      </c>
      <c r="O189" s="14">
        <f>N189*VLOOKUP('Données projet'!$B$9,Paramètres!$A$1:$I$89,3,0)*VLOOKUP('Données projet'!$B$9,Paramètres!$A$1:$I$89,5,0)</f>
        <v>-8.7966327555477625E-13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456.86147223520601</v>
      </c>
      <c r="T189" s="60">
        <f t="shared" si="142"/>
        <v>244.45149244446094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2.5579538487363607E-13</v>
      </c>
      <c r="AJ189" s="14">
        <f>AI189*VLOOKUP('Données projet'!$B$10,Paramètres!$A$1:$I$89,3,0)*VLOOKUP('Données projet'!$B$10,Paramètres!$A$1:$I$89,5,0)</f>
        <v>1.6759713616920635E-13</v>
      </c>
      <c r="AK189" s="14">
        <f t="shared" si="164"/>
        <v>2.3709043131075133E-12</v>
      </c>
      <c r="AL189" s="22">
        <f t="shared" si="165"/>
        <v>4.4212233574902864E-12</v>
      </c>
      <c r="AM189" s="60">
        <f t="shared" si="113"/>
        <v>293.33333333333775</v>
      </c>
      <c r="AN189" s="60">
        <f ca="1">AVERAGE(OFFSET($AM$3,0,0,'Données projet'!$E$10+1,1))-AVERAGE(OFFSET($H$3,0,0,'Données projet'!$E$10+1,1))</f>
        <v>170.79567854714986</v>
      </c>
      <c r="AO189" s="60">
        <f t="shared" si="144"/>
        <v>155.92788004111191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-1.1368683772161603E-13</v>
      </c>
      <c r="BE189" s="14">
        <f>BD189*VLOOKUP('Données projet'!$B$11,Paramètres!$A$1:$I$89,3,0)*VLOOKUP('Données projet'!$B$11,Paramètres!$A$1:$I$89,5,0)</f>
        <v>-9.2222762759774927E-14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256.19915261735281</v>
      </c>
      <c r="BJ189" s="60">
        <f t="shared" si="146"/>
        <v>297.47246687305056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-5.6843418860808015E-14</v>
      </c>
      <c r="BZ189" s="14">
        <f>BY189*VLOOKUP('Données projet'!$B$12,Paramètres!$A$1:$I$89,3,0)*VLOOKUP('Données projet'!$B$12,Paramètres!$A$1:$I$89,5,0)</f>
        <v>-5.4092197387944907E-14</v>
      </c>
      <c r="CA189" s="14" t="e">
        <f t="shared" si="170"/>
        <v>#NUM!</v>
      </c>
      <c r="CB189" s="22" t="e">
        <f t="shared" si="171"/>
        <v>#NUM!</v>
      </c>
      <c r="CC189" s="60" t="e">
        <f t="shared" si="119"/>
        <v>#NUM!</v>
      </c>
      <c r="CD189" s="60">
        <f ca="1">AVERAGE(OFFSET($CC$3,0,0,'Données projet'!$E$12+1,1))-AVERAGE(OFFSET($H$3,0,0,'Données projet'!$E$12+1,1))</f>
        <v>353.53401919391234</v>
      </c>
      <c r="CE189" s="60">
        <f t="shared" si="148"/>
        <v>244.7141066773861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-9.0949470177292824E-13</v>
      </c>
      <c r="CU189" s="18">
        <f>CT189*VLOOKUP('Données projet'!$B$13,Paramètres!$A$1:$I$89,3,0)*VLOOKUP('Données projet'!$B$13,Paramètres!$A$1:$I$89,5,0)</f>
        <v>-7.6615833677351478E-13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403.33327536410098</v>
      </c>
      <c r="CZ189" s="60">
        <f t="shared" si="150"/>
        <v>218.26721063098552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3.4106051316484809E-13</v>
      </c>
      <c r="DP189" s="18">
        <f>DO189*VLOOKUP('Données projet'!$B$14,Paramètres!$A$1:$I$89,3,0)*VLOOKUP('Données projet'!$B$14,Paramètres!$A$1:$I$89,5,0)</f>
        <v>2.7134774427395314E-13</v>
      </c>
      <c r="DQ189" s="14">
        <f t="shared" si="176"/>
        <v>3.6292411711343559E-12</v>
      </c>
      <c r="DR189" s="22">
        <f t="shared" si="177"/>
        <v>6.7935256943361388E-12</v>
      </c>
      <c r="DS189" s="60">
        <f t="shared" si="125"/>
        <v>293.33333333334014</v>
      </c>
      <c r="DT189" s="60">
        <f ca="1">AVERAGE(OFFSET($DS$3,0,0,'Données projet'!$E$14+1,1))-AVERAGE(OFFSET($H$3,0,0,'Données projet'!$E$14+1,1))</f>
        <v>317.13087551964747</v>
      </c>
      <c r="DU189" s="60">
        <f t="shared" si="152"/>
        <v>293.43300041793185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1.7053025658242404E-13</v>
      </c>
      <c r="EK189" s="18">
        <f>EJ189*VLOOKUP('Données projet'!$B$15,Paramètres!$A$1:$I$89,3,0)*VLOOKUP('Données projet'!$B$15,Paramètres!$A$1:$I$89,5,0)</f>
        <v>1.3567387213697657E-13</v>
      </c>
      <c r="EL189" s="14">
        <f t="shared" si="179"/>
        <v>1.9670967679808581E-12</v>
      </c>
      <c r="EM189" s="22">
        <f t="shared" si="180"/>
        <v>3.6623255315385623E-12</v>
      </c>
      <c r="EN189" s="60">
        <f t="shared" si="128"/>
        <v>293.33333333333695</v>
      </c>
      <c r="EO189" s="60">
        <f ca="1">AVERAGE(OFFSET($EN$3,0,0,'Données projet'!$E$15+1,1))-AVERAGE(OFFSET($H$3,0,0,'Données projet'!$E$15+1,1))</f>
        <v>253.03289960511904</v>
      </c>
      <c r="EP189" s="60">
        <f t="shared" si="154"/>
        <v>236.85088713056018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1.7053025658242404E-13</v>
      </c>
      <c r="FF189" s="18">
        <f>FE189*VLOOKUP('Données projet'!$B$16,Paramètres!$A$1:$I$89,3,0)*VLOOKUP('Données projet'!$B$16,Paramètres!$A$1:$I$89,5,0)</f>
        <v>1.4897523215040567E-13</v>
      </c>
      <c r="FG189" s="14">
        <f t="shared" si="182"/>
        <v>2.136562777003313E-12</v>
      </c>
      <c r="FH189" s="22">
        <f t="shared" si="183"/>
        <v>3.9806453659427267E-12</v>
      </c>
      <c r="FI189" s="60">
        <f t="shared" si="131"/>
        <v>293.33333333333729</v>
      </c>
      <c r="FJ189" s="60">
        <f ca="1">AVERAGE(OFFSET($FI$3,0,0,'Données projet'!$E$16+1,1))-AVERAGE(OFFSET($H$3,0,0,'Données projet'!$E$16+1,1))</f>
        <v>274.38315511766132</v>
      </c>
      <c r="FK189" s="60">
        <f t="shared" si="156"/>
        <v>255.96663040027175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-1.1368683772161603E-13</v>
      </c>
      <c r="GA189" s="18">
        <f>FZ189*VLOOKUP('Données projet'!$B$17,Paramètres!$A$1:$I$89,3,0)*VLOOKUP('Données projet'!$B$17,Paramètres!$A$1:$I$89,5,0)</f>
        <v>-9.7543306765146564E-14</v>
      </c>
      <c r="GB189" s="14" t="e">
        <f t="shared" si="185"/>
        <v>#NUM!</v>
      </c>
      <c r="GC189" s="22" t="e">
        <f t="shared" si="186"/>
        <v>#NUM!</v>
      </c>
      <c r="GD189" s="60" t="e">
        <f t="shared" si="134"/>
        <v>#NUM!</v>
      </c>
      <c r="GE189" s="60">
        <f ca="1">AVERAGE(OFFSET($GD$3,0,0,'Données projet'!$E$17+1,1))-AVERAGE(OFFSET($H$3,0,0,'Données projet'!$E$17+1,1))</f>
        <v>445.81166342116865</v>
      </c>
      <c r="GF189" s="60">
        <f t="shared" si="158"/>
        <v>230.82970731138215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5.6843418860808015E-14</v>
      </c>
      <c r="GV189" s="18">
        <f>GU189*VLOOKUP('Données projet'!$B$18,Paramètres!$A$1:$I$89,3,0)*VLOOKUP('Données projet'!$B$18,Paramètres!$A$1:$I$89,5,0)</f>
        <v>4.4337866711430253E-14</v>
      </c>
      <c r="GW189" s="14">
        <f t="shared" si="188"/>
        <v>7.3222115536967035E-13</v>
      </c>
      <c r="GX189" s="22">
        <f t="shared" si="189"/>
        <v>1.3525069634579169E-12</v>
      </c>
      <c r="GY189" s="60">
        <f t="shared" si="137"/>
        <v>293.33333333333468</v>
      </c>
      <c r="GZ189" s="60">
        <f ca="1">AVERAGE(OFFSET($GY$3,0,0,'Données projet'!$E$18+1,1))-AVERAGE(OFFSET($H$3,0,0,'Données projet'!$E$18+1,1))</f>
        <v>289.19475369871481</v>
      </c>
      <c r="HA189" s="60">
        <f t="shared" si="160"/>
        <v>283.48738729114024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projet'!$B$18,Paramètres!$A$1:$I$89,3,0)*0.475*44/12</f>
        <v>0</v>
      </c>
      <c r="HH189" s="23">
        <f>EXP(-LN(2)/25)*HH188+(1-EXP(-LN(2)/25))/(LN(2)/25)*Calculateur!HC189*Calculateur!HE189*VLOOKUP('Données projet'!$B$18,Paramètres!$A$1:$I$89,3,0)*0.475*44/12</f>
        <v>0</v>
      </c>
      <c r="HI189" s="23">
        <f>EXP(-LN(2)/2)*HI188+(1-EXP(-LN(2)/2))/(LN(2)/2)*HC189*HF189*VLOOKUP('Données projet'!$B$18,Paramètres!$A$1:$I$89,3,0)*0.475*44/12</f>
        <v>0</v>
      </c>
      <c r="HJ189" s="24">
        <f t="shared" si="190"/>
        <v>0</v>
      </c>
    </row>
    <row r="190" spans="1:218" x14ac:dyDescent="0.3">
      <c r="A190" s="11">
        <f t="shared" si="161"/>
        <v>187</v>
      </c>
      <c r="B190" s="75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8">
        <f t="shared" si="110"/>
        <v>256.66666666666669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-9.0949470177292824E-13</v>
      </c>
      <c r="O190" s="14">
        <f>N190*VLOOKUP('Données projet'!$B$9,Paramètres!$A$1:$I$89,3,0)*VLOOKUP('Données projet'!$B$9,Paramètres!$A$1:$I$89,5,0)</f>
        <v>-8.7966327555477625E-13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456.86147223520601</v>
      </c>
      <c r="T190" s="60">
        <f t="shared" si="142"/>
        <v>244.45149244446094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2.5579538487363607E-13</v>
      </c>
      <c r="AJ190" s="14">
        <f>AI190*VLOOKUP('Données projet'!$B$10,Paramètres!$A$1:$I$89,3,0)*VLOOKUP('Données projet'!$B$10,Paramètres!$A$1:$I$89,5,0)</f>
        <v>1.6759713616920635E-13</v>
      </c>
      <c r="AK190" s="14">
        <f t="shared" si="164"/>
        <v>2.3709043131075133E-12</v>
      </c>
      <c r="AL190" s="22">
        <f t="shared" si="165"/>
        <v>4.4212233574902864E-12</v>
      </c>
      <c r="AM190" s="60">
        <f t="shared" si="113"/>
        <v>293.33333333333775</v>
      </c>
      <c r="AN190" s="60">
        <f ca="1">AVERAGE(OFFSET($AM$3,0,0,'Données projet'!$E$10+1,1))-AVERAGE(OFFSET($H$3,0,0,'Données projet'!$E$10+1,1))</f>
        <v>170.79567854714986</v>
      </c>
      <c r="AO190" s="60">
        <f t="shared" si="144"/>
        <v>155.92788004111191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-1.1368683772161603E-13</v>
      </c>
      <c r="BE190" s="14">
        <f>BD190*VLOOKUP('Données projet'!$B$11,Paramètres!$A$1:$I$89,3,0)*VLOOKUP('Données projet'!$B$11,Paramètres!$A$1:$I$89,5,0)</f>
        <v>-9.2222762759774927E-14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256.19915261735281</v>
      </c>
      <c r="BJ190" s="60">
        <f t="shared" si="146"/>
        <v>297.47246687305056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-5.6843418860808015E-14</v>
      </c>
      <c r="BZ190" s="14">
        <f>BY190*VLOOKUP('Données projet'!$B$12,Paramètres!$A$1:$I$89,3,0)*VLOOKUP('Données projet'!$B$12,Paramètres!$A$1:$I$89,5,0)</f>
        <v>-5.4092197387944907E-14</v>
      </c>
      <c r="CA190" s="14" t="e">
        <f t="shared" si="170"/>
        <v>#NUM!</v>
      </c>
      <c r="CB190" s="22" t="e">
        <f t="shared" si="171"/>
        <v>#NUM!</v>
      </c>
      <c r="CC190" s="60" t="e">
        <f t="shared" si="119"/>
        <v>#NUM!</v>
      </c>
      <c r="CD190" s="60">
        <f ca="1">AVERAGE(OFFSET($CC$3,0,0,'Données projet'!$E$12+1,1))-AVERAGE(OFFSET($H$3,0,0,'Données projet'!$E$12+1,1))</f>
        <v>353.53401919391234</v>
      </c>
      <c r="CE190" s="60">
        <f t="shared" si="148"/>
        <v>244.7141066773861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-9.0949470177292824E-13</v>
      </c>
      <c r="CU190" s="18">
        <f>CT190*VLOOKUP('Données projet'!$B$13,Paramètres!$A$1:$I$89,3,0)*VLOOKUP('Données projet'!$B$13,Paramètres!$A$1:$I$89,5,0)</f>
        <v>-7.6615833677351478E-13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403.33327536410098</v>
      </c>
      <c r="CZ190" s="60">
        <f t="shared" si="150"/>
        <v>218.26721063098552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3.4106051316484809E-13</v>
      </c>
      <c r="DP190" s="18">
        <f>DO190*VLOOKUP('Données projet'!$B$14,Paramètres!$A$1:$I$89,3,0)*VLOOKUP('Données projet'!$B$14,Paramètres!$A$1:$I$89,5,0)</f>
        <v>2.7134774427395314E-13</v>
      </c>
      <c r="DQ190" s="14">
        <f t="shared" si="176"/>
        <v>3.6292411711343559E-12</v>
      </c>
      <c r="DR190" s="22">
        <f t="shared" si="177"/>
        <v>6.7935256943361388E-12</v>
      </c>
      <c r="DS190" s="60">
        <f t="shared" si="125"/>
        <v>293.33333333334014</v>
      </c>
      <c r="DT190" s="60">
        <f ca="1">AVERAGE(OFFSET($DS$3,0,0,'Données projet'!$E$14+1,1))-AVERAGE(OFFSET($H$3,0,0,'Données projet'!$E$14+1,1))</f>
        <v>317.13087551964747</v>
      </c>
      <c r="DU190" s="60">
        <f t="shared" si="152"/>
        <v>293.43300041793185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1.7053025658242404E-13</v>
      </c>
      <c r="EK190" s="18">
        <f>EJ190*VLOOKUP('Données projet'!$B$15,Paramètres!$A$1:$I$89,3,0)*VLOOKUP('Données projet'!$B$15,Paramètres!$A$1:$I$89,5,0)</f>
        <v>1.3567387213697657E-13</v>
      </c>
      <c r="EL190" s="14">
        <f t="shared" si="179"/>
        <v>1.9670967679808581E-12</v>
      </c>
      <c r="EM190" s="22">
        <f t="shared" si="180"/>
        <v>3.6623255315385623E-12</v>
      </c>
      <c r="EN190" s="60">
        <f t="shared" si="128"/>
        <v>293.33333333333695</v>
      </c>
      <c r="EO190" s="60">
        <f ca="1">AVERAGE(OFFSET($EN$3,0,0,'Données projet'!$E$15+1,1))-AVERAGE(OFFSET($H$3,0,0,'Données projet'!$E$15+1,1))</f>
        <v>253.03289960511904</v>
      </c>
      <c r="EP190" s="60">
        <f t="shared" si="154"/>
        <v>236.85088713056018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1.7053025658242404E-13</v>
      </c>
      <c r="FF190" s="18">
        <f>FE190*VLOOKUP('Données projet'!$B$16,Paramètres!$A$1:$I$89,3,0)*VLOOKUP('Données projet'!$B$16,Paramètres!$A$1:$I$89,5,0)</f>
        <v>1.4897523215040567E-13</v>
      </c>
      <c r="FG190" s="14">
        <f t="shared" si="182"/>
        <v>2.136562777003313E-12</v>
      </c>
      <c r="FH190" s="22">
        <f t="shared" si="183"/>
        <v>3.9806453659427267E-12</v>
      </c>
      <c r="FI190" s="60">
        <f t="shared" si="131"/>
        <v>293.33333333333729</v>
      </c>
      <c r="FJ190" s="60">
        <f ca="1">AVERAGE(OFFSET($FI$3,0,0,'Données projet'!$E$16+1,1))-AVERAGE(OFFSET($H$3,0,0,'Données projet'!$E$16+1,1))</f>
        <v>274.38315511766132</v>
      </c>
      <c r="FK190" s="60">
        <f t="shared" si="156"/>
        <v>255.96663040027175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-1.1368683772161603E-13</v>
      </c>
      <c r="GA190" s="18">
        <f>FZ190*VLOOKUP('Données projet'!$B$17,Paramètres!$A$1:$I$89,3,0)*VLOOKUP('Données projet'!$B$17,Paramètres!$A$1:$I$89,5,0)</f>
        <v>-9.7543306765146564E-14</v>
      </c>
      <c r="GB190" s="14" t="e">
        <f t="shared" si="185"/>
        <v>#NUM!</v>
      </c>
      <c r="GC190" s="22" t="e">
        <f t="shared" si="186"/>
        <v>#NUM!</v>
      </c>
      <c r="GD190" s="60" t="e">
        <f t="shared" si="134"/>
        <v>#NUM!</v>
      </c>
      <c r="GE190" s="60">
        <f ca="1">AVERAGE(OFFSET($GD$3,0,0,'Données projet'!$E$17+1,1))-AVERAGE(OFFSET($H$3,0,0,'Données projet'!$E$17+1,1))</f>
        <v>445.81166342116865</v>
      </c>
      <c r="GF190" s="60">
        <f t="shared" si="158"/>
        <v>230.82970731138215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5.6843418860808015E-14</v>
      </c>
      <c r="GV190" s="18">
        <f>GU190*VLOOKUP('Données projet'!$B$18,Paramètres!$A$1:$I$89,3,0)*VLOOKUP('Données projet'!$B$18,Paramètres!$A$1:$I$89,5,0)</f>
        <v>4.4337866711430253E-14</v>
      </c>
      <c r="GW190" s="14">
        <f t="shared" si="188"/>
        <v>7.3222115536967035E-13</v>
      </c>
      <c r="GX190" s="22">
        <f t="shared" si="189"/>
        <v>1.3525069634579169E-12</v>
      </c>
      <c r="GY190" s="60">
        <f t="shared" si="137"/>
        <v>293.33333333333468</v>
      </c>
      <c r="GZ190" s="60">
        <f ca="1">AVERAGE(OFFSET($GY$3,0,0,'Données projet'!$E$18+1,1))-AVERAGE(OFFSET($H$3,0,0,'Données projet'!$E$18+1,1))</f>
        <v>289.19475369871481</v>
      </c>
      <c r="HA190" s="60">
        <f t="shared" si="160"/>
        <v>283.48738729114024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projet'!$B$18,Paramètres!$A$1:$I$89,3,0)*0.475*44/12</f>
        <v>0</v>
      </c>
      <c r="HH190" s="23">
        <f>EXP(-LN(2)/25)*HH189+(1-EXP(-LN(2)/25))/(LN(2)/25)*Calculateur!HC190*Calculateur!HE190*VLOOKUP('Données projet'!$B$18,Paramètres!$A$1:$I$89,3,0)*0.475*44/12</f>
        <v>0</v>
      </c>
      <c r="HI190" s="23">
        <f>EXP(-LN(2)/2)*HI189+(1-EXP(-LN(2)/2))/(LN(2)/2)*HC190*HF190*VLOOKUP('Données projet'!$B$18,Paramètres!$A$1:$I$89,3,0)*0.475*44/12</f>
        <v>0</v>
      </c>
      <c r="HJ190" s="24">
        <f t="shared" si="190"/>
        <v>0</v>
      </c>
    </row>
    <row r="191" spans="1:218" x14ac:dyDescent="0.3">
      <c r="A191" s="11">
        <f t="shared" si="161"/>
        <v>188</v>
      </c>
      <c r="B191" s="75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8">
        <f t="shared" si="110"/>
        <v>256.66666666666669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-9.0949470177292824E-13</v>
      </c>
      <c r="O191" s="14">
        <f>N191*VLOOKUP('Données projet'!$B$9,Paramètres!$A$1:$I$89,3,0)*VLOOKUP('Données projet'!$B$9,Paramètres!$A$1:$I$89,5,0)</f>
        <v>-8.7966327555477625E-13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456.86147223520601</v>
      </c>
      <c r="T191" s="60">
        <f t="shared" si="142"/>
        <v>244.45149244446094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2.5579538487363607E-13</v>
      </c>
      <c r="AJ191" s="14">
        <f>AI191*VLOOKUP('Données projet'!$B$10,Paramètres!$A$1:$I$89,3,0)*VLOOKUP('Données projet'!$B$10,Paramètres!$A$1:$I$89,5,0)</f>
        <v>1.6759713616920635E-13</v>
      </c>
      <c r="AK191" s="14">
        <f t="shared" si="164"/>
        <v>2.3709043131075133E-12</v>
      </c>
      <c r="AL191" s="22">
        <f t="shared" si="165"/>
        <v>4.4212233574902864E-12</v>
      </c>
      <c r="AM191" s="60">
        <f t="shared" si="113"/>
        <v>293.33333333333775</v>
      </c>
      <c r="AN191" s="60">
        <f ca="1">AVERAGE(OFFSET($AM$3,0,0,'Données projet'!$E$10+1,1))-AVERAGE(OFFSET($H$3,0,0,'Données projet'!$E$10+1,1))</f>
        <v>170.79567854714986</v>
      </c>
      <c r="AO191" s="60">
        <f t="shared" si="144"/>
        <v>155.92788004111191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-1.1368683772161603E-13</v>
      </c>
      <c r="BE191" s="14">
        <f>BD191*VLOOKUP('Données projet'!$B$11,Paramètres!$A$1:$I$89,3,0)*VLOOKUP('Données projet'!$B$11,Paramètres!$A$1:$I$89,5,0)</f>
        <v>-9.2222762759774927E-14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256.19915261735281</v>
      </c>
      <c r="BJ191" s="60">
        <f t="shared" si="146"/>
        <v>297.47246687305056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-5.6843418860808015E-14</v>
      </c>
      <c r="BZ191" s="14">
        <f>BY191*VLOOKUP('Données projet'!$B$12,Paramètres!$A$1:$I$89,3,0)*VLOOKUP('Données projet'!$B$12,Paramètres!$A$1:$I$89,5,0)</f>
        <v>-5.4092197387944907E-14</v>
      </c>
      <c r="CA191" s="14" t="e">
        <f t="shared" si="170"/>
        <v>#NUM!</v>
      </c>
      <c r="CB191" s="22" t="e">
        <f t="shared" si="171"/>
        <v>#NUM!</v>
      </c>
      <c r="CC191" s="60" t="e">
        <f t="shared" si="119"/>
        <v>#NUM!</v>
      </c>
      <c r="CD191" s="60">
        <f ca="1">AVERAGE(OFFSET($CC$3,0,0,'Données projet'!$E$12+1,1))-AVERAGE(OFFSET($H$3,0,0,'Données projet'!$E$12+1,1))</f>
        <v>353.53401919391234</v>
      </c>
      <c r="CE191" s="60">
        <f t="shared" si="148"/>
        <v>244.7141066773861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-9.0949470177292824E-13</v>
      </c>
      <c r="CU191" s="18">
        <f>CT191*VLOOKUP('Données projet'!$B$13,Paramètres!$A$1:$I$89,3,0)*VLOOKUP('Données projet'!$B$13,Paramètres!$A$1:$I$89,5,0)</f>
        <v>-7.6615833677351478E-13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403.33327536410098</v>
      </c>
      <c r="CZ191" s="60">
        <f t="shared" si="150"/>
        <v>218.26721063098552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3.4106051316484809E-13</v>
      </c>
      <c r="DP191" s="18">
        <f>DO191*VLOOKUP('Données projet'!$B$14,Paramètres!$A$1:$I$89,3,0)*VLOOKUP('Données projet'!$B$14,Paramètres!$A$1:$I$89,5,0)</f>
        <v>2.7134774427395314E-13</v>
      </c>
      <c r="DQ191" s="14">
        <f t="shared" si="176"/>
        <v>3.6292411711343559E-12</v>
      </c>
      <c r="DR191" s="22">
        <f t="shared" si="177"/>
        <v>6.7935256943361388E-12</v>
      </c>
      <c r="DS191" s="60">
        <f t="shared" si="125"/>
        <v>293.33333333334014</v>
      </c>
      <c r="DT191" s="60">
        <f ca="1">AVERAGE(OFFSET($DS$3,0,0,'Données projet'!$E$14+1,1))-AVERAGE(OFFSET($H$3,0,0,'Données projet'!$E$14+1,1))</f>
        <v>317.13087551964747</v>
      </c>
      <c r="DU191" s="60">
        <f t="shared" si="152"/>
        <v>293.43300041793185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1.7053025658242404E-13</v>
      </c>
      <c r="EK191" s="18">
        <f>EJ191*VLOOKUP('Données projet'!$B$15,Paramètres!$A$1:$I$89,3,0)*VLOOKUP('Données projet'!$B$15,Paramètres!$A$1:$I$89,5,0)</f>
        <v>1.3567387213697657E-13</v>
      </c>
      <c r="EL191" s="14">
        <f t="shared" si="179"/>
        <v>1.9670967679808581E-12</v>
      </c>
      <c r="EM191" s="22">
        <f t="shared" si="180"/>
        <v>3.6623255315385623E-12</v>
      </c>
      <c r="EN191" s="60">
        <f t="shared" si="128"/>
        <v>293.33333333333695</v>
      </c>
      <c r="EO191" s="60">
        <f ca="1">AVERAGE(OFFSET($EN$3,0,0,'Données projet'!$E$15+1,1))-AVERAGE(OFFSET($H$3,0,0,'Données projet'!$E$15+1,1))</f>
        <v>253.03289960511904</v>
      </c>
      <c r="EP191" s="60">
        <f t="shared" si="154"/>
        <v>236.85088713056018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1.7053025658242404E-13</v>
      </c>
      <c r="FF191" s="18">
        <f>FE191*VLOOKUP('Données projet'!$B$16,Paramètres!$A$1:$I$89,3,0)*VLOOKUP('Données projet'!$B$16,Paramètres!$A$1:$I$89,5,0)</f>
        <v>1.4897523215040567E-13</v>
      </c>
      <c r="FG191" s="14">
        <f t="shared" si="182"/>
        <v>2.136562777003313E-12</v>
      </c>
      <c r="FH191" s="22">
        <f t="shared" si="183"/>
        <v>3.9806453659427267E-12</v>
      </c>
      <c r="FI191" s="60">
        <f t="shared" si="131"/>
        <v>293.33333333333729</v>
      </c>
      <c r="FJ191" s="60">
        <f ca="1">AVERAGE(OFFSET($FI$3,0,0,'Données projet'!$E$16+1,1))-AVERAGE(OFFSET($H$3,0,0,'Données projet'!$E$16+1,1))</f>
        <v>274.38315511766132</v>
      </c>
      <c r="FK191" s="60">
        <f t="shared" si="156"/>
        <v>255.96663040027175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-1.1368683772161603E-13</v>
      </c>
      <c r="GA191" s="18">
        <f>FZ191*VLOOKUP('Données projet'!$B$17,Paramètres!$A$1:$I$89,3,0)*VLOOKUP('Données projet'!$B$17,Paramètres!$A$1:$I$89,5,0)</f>
        <v>-9.7543306765146564E-14</v>
      </c>
      <c r="GB191" s="14" t="e">
        <f t="shared" si="185"/>
        <v>#NUM!</v>
      </c>
      <c r="GC191" s="22" t="e">
        <f t="shared" si="186"/>
        <v>#NUM!</v>
      </c>
      <c r="GD191" s="60" t="e">
        <f t="shared" si="134"/>
        <v>#NUM!</v>
      </c>
      <c r="GE191" s="60">
        <f ca="1">AVERAGE(OFFSET($GD$3,0,0,'Données projet'!$E$17+1,1))-AVERAGE(OFFSET($H$3,0,0,'Données projet'!$E$17+1,1))</f>
        <v>445.81166342116865</v>
      </c>
      <c r="GF191" s="60">
        <f t="shared" si="158"/>
        <v>230.82970731138215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5.6843418860808015E-14</v>
      </c>
      <c r="GV191" s="18">
        <f>GU191*VLOOKUP('Données projet'!$B$18,Paramètres!$A$1:$I$89,3,0)*VLOOKUP('Données projet'!$B$18,Paramètres!$A$1:$I$89,5,0)</f>
        <v>4.4337866711430253E-14</v>
      </c>
      <c r="GW191" s="14">
        <f t="shared" si="188"/>
        <v>7.3222115536967035E-13</v>
      </c>
      <c r="GX191" s="22">
        <f t="shared" si="189"/>
        <v>1.3525069634579169E-12</v>
      </c>
      <c r="GY191" s="60">
        <f t="shared" si="137"/>
        <v>293.33333333333468</v>
      </c>
      <c r="GZ191" s="60">
        <f ca="1">AVERAGE(OFFSET($GY$3,0,0,'Données projet'!$E$18+1,1))-AVERAGE(OFFSET($H$3,0,0,'Données projet'!$E$18+1,1))</f>
        <v>289.19475369871481</v>
      </c>
      <c r="HA191" s="60">
        <f t="shared" si="160"/>
        <v>283.48738729114024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projet'!$B$18,Paramètres!$A$1:$I$89,3,0)*0.475*44/12</f>
        <v>0</v>
      </c>
      <c r="HH191" s="23">
        <f>EXP(-LN(2)/25)*HH190+(1-EXP(-LN(2)/25))/(LN(2)/25)*Calculateur!HC191*Calculateur!HE191*VLOOKUP('Données projet'!$B$18,Paramètres!$A$1:$I$89,3,0)*0.475*44/12</f>
        <v>0</v>
      </c>
      <c r="HI191" s="23">
        <f>EXP(-LN(2)/2)*HI190+(1-EXP(-LN(2)/2))/(LN(2)/2)*HC191*HF191*VLOOKUP('Données projet'!$B$18,Paramètres!$A$1:$I$89,3,0)*0.475*44/12</f>
        <v>0</v>
      </c>
      <c r="HJ191" s="24">
        <f t="shared" si="190"/>
        <v>0</v>
      </c>
    </row>
    <row r="192" spans="1:218" x14ac:dyDescent="0.3">
      <c r="A192" s="11">
        <f t="shared" si="161"/>
        <v>189</v>
      </c>
      <c r="B192" s="75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8">
        <f t="shared" si="110"/>
        <v>256.66666666666669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-9.0949470177292824E-13</v>
      </c>
      <c r="O192" s="14">
        <f>N192*VLOOKUP('Données projet'!$B$9,Paramètres!$A$1:$I$89,3,0)*VLOOKUP('Données projet'!$B$9,Paramètres!$A$1:$I$89,5,0)</f>
        <v>-8.7966327555477625E-13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456.86147223520601</v>
      </c>
      <c r="T192" s="60">
        <f t="shared" si="142"/>
        <v>244.45149244446094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2.5579538487363607E-13</v>
      </c>
      <c r="AJ192" s="14">
        <f>AI192*VLOOKUP('Données projet'!$B$10,Paramètres!$A$1:$I$89,3,0)*VLOOKUP('Données projet'!$B$10,Paramètres!$A$1:$I$89,5,0)</f>
        <v>1.6759713616920635E-13</v>
      </c>
      <c r="AK192" s="14">
        <f t="shared" si="164"/>
        <v>2.3709043131075133E-12</v>
      </c>
      <c r="AL192" s="22">
        <f t="shared" si="165"/>
        <v>4.4212233574902864E-12</v>
      </c>
      <c r="AM192" s="60">
        <f t="shared" si="113"/>
        <v>293.33333333333775</v>
      </c>
      <c r="AN192" s="60">
        <f ca="1">AVERAGE(OFFSET($AM$3,0,0,'Données projet'!$E$10+1,1))-AVERAGE(OFFSET($H$3,0,0,'Données projet'!$E$10+1,1))</f>
        <v>170.79567854714986</v>
      </c>
      <c r="AO192" s="60">
        <f t="shared" si="144"/>
        <v>155.92788004111191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-1.1368683772161603E-13</v>
      </c>
      <c r="BE192" s="14">
        <f>BD192*VLOOKUP('Données projet'!$B$11,Paramètres!$A$1:$I$89,3,0)*VLOOKUP('Données projet'!$B$11,Paramètres!$A$1:$I$89,5,0)</f>
        <v>-9.2222762759774927E-14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256.19915261735281</v>
      </c>
      <c r="BJ192" s="60">
        <f t="shared" si="146"/>
        <v>297.47246687305056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-5.6843418860808015E-14</v>
      </c>
      <c r="BZ192" s="14">
        <f>BY192*VLOOKUP('Données projet'!$B$12,Paramètres!$A$1:$I$89,3,0)*VLOOKUP('Données projet'!$B$12,Paramètres!$A$1:$I$89,5,0)</f>
        <v>-5.4092197387944907E-14</v>
      </c>
      <c r="CA192" s="14" t="e">
        <f t="shared" si="170"/>
        <v>#NUM!</v>
      </c>
      <c r="CB192" s="22" t="e">
        <f t="shared" si="171"/>
        <v>#NUM!</v>
      </c>
      <c r="CC192" s="60" t="e">
        <f t="shared" si="119"/>
        <v>#NUM!</v>
      </c>
      <c r="CD192" s="60">
        <f ca="1">AVERAGE(OFFSET($CC$3,0,0,'Données projet'!$E$12+1,1))-AVERAGE(OFFSET($H$3,0,0,'Données projet'!$E$12+1,1))</f>
        <v>353.53401919391234</v>
      </c>
      <c r="CE192" s="60">
        <f t="shared" si="148"/>
        <v>244.7141066773861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-9.0949470177292824E-13</v>
      </c>
      <c r="CU192" s="18">
        <f>CT192*VLOOKUP('Données projet'!$B$13,Paramètres!$A$1:$I$89,3,0)*VLOOKUP('Données projet'!$B$13,Paramètres!$A$1:$I$89,5,0)</f>
        <v>-7.6615833677351478E-13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403.33327536410098</v>
      </c>
      <c r="CZ192" s="60">
        <f t="shared" si="150"/>
        <v>218.26721063098552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3.4106051316484809E-13</v>
      </c>
      <c r="DP192" s="18">
        <f>DO192*VLOOKUP('Données projet'!$B$14,Paramètres!$A$1:$I$89,3,0)*VLOOKUP('Données projet'!$B$14,Paramètres!$A$1:$I$89,5,0)</f>
        <v>2.7134774427395314E-13</v>
      </c>
      <c r="DQ192" s="14">
        <f t="shared" si="176"/>
        <v>3.6292411711343559E-12</v>
      </c>
      <c r="DR192" s="22">
        <f t="shared" si="177"/>
        <v>6.7935256943361388E-12</v>
      </c>
      <c r="DS192" s="60">
        <f t="shared" si="125"/>
        <v>293.33333333334014</v>
      </c>
      <c r="DT192" s="60">
        <f ca="1">AVERAGE(OFFSET($DS$3,0,0,'Données projet'!$E$14+1,1))-AVERAGE(OFFSET($H$3,0,0,'Données projet'!$E$14+1,1))</f>
        <v>317.13087551964747</v>
      </c>
      <c r="DU192" s="60">
        <f t="shared" si="152"/>
        <v>293.43300041793185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1.7053025658242404E-13</v>
      </c>
      <c r="EK192" s="18">
        <f>EJ192*VLOOKUP('Données projet'!$B$15,Paramètres!$A$1:$I$89,3,0)*VLOOKUP('Données projet'!$B$15,Paramètres!$A$1:$I$89,5,0)</f>
        <v>1.3567387213697657E-13</v>
      </c>
      <c r="EL192" s="14">
        <f t="shared" si="179"/>
        <v>1.9670967679808581E-12</v>
      </c>
      <c r="EM192" s="22">
        <f t="shared" si="180"/>
        <v>3.6623255315385623E-12</v>
      </c>
      <c r="EN192" s="60">
        <f t="shared" si="128"/>
        <v>293.33333333333695</v>
      </c>
      <c r="EO192" s="60">
        <f ca="1">AVERAGE(OFFSET($EN$3,0,0,'Données projet'!$E$15+1,1))-AVERAGE(OFFSET($H$3,0,0,'Données projet'!$E$15+1,1))</f>
        <v>253.03289960511904</v>
      </c>
      <c r="EP192" s="60">
        <f t="shared" si="154"/>
        <v>236.85088713056018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1.7053025658242404E-13</v>
      </c>
      <c r="FF192" s="18">
        <f>FE192*VLOOKUP('Données projet'!$B$16,Paramètres!$A$1:$I$89,3,0)*VLOOKUP('Données projet'!$B$16,Paramètres!$A$1:$I$89,5,0)</f>
        <v>1.4897523215040567E-13</v>
      </c>
      <c r="FG192" s="14">
        <f t="shared" si="182"/>
        <v>2.136562777003313E-12</v>
      </c>
      <c r="FH192" s="22">
        <f t="shared" si="183"/>
        <v>3.9806453659427267E-12</v>
      </c>
      <c r="FI192" s="60">
        <f t="shared" si="131"/>
        <v>293.33333333333729</v>
      </c>
      <c r="FJ192" s="60">
        <f ca="1">AVERAGE(OFFSET($FI$3,0,0,'Données projet'!$E$16+1,1))-AVERAGE(OFFSET($H$3,0,0,'Données projet'!$E$16+1,1))</f>
        <v>274.38315511766132</v>
      </c>
      <c r="FK192" s="60">
        <f t="shared" si="156"/>
        <v>255.96663040027175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-1.1368683772161603E-13</v>
      </c>
      <c r="GA192" s="18">
        <f>FZ192*VLOOKUP('Données projet'!$B$17,Paramètres!$A$1:$I$89,3,0)*VLOOKUP('Données projet'!$B$17,Paramètres!$A$1:$I$89,5,0)</f>
        <v>-9.7543306765146564E-14</v>
      </c>
      <c r="GB192" s="14" t="e">
        <f t="shared" si="185"/>
        <v>#NUM!</v>
      </c>
      <c r="GC192" s="22" t="e">
        <f t="shared" si="186"/>
        <v>#NUM!</v>
      </c>
      <c r="GD192" s="60" t="e">
        <f t="shared" si="134"/>
        <v>#NUM!</v>
      </c>
      <c r="GE192" s="60">
        <f ca="1">AVERAGE(OFFSET($GD$3,0,0,'Données projet'!$E$17+1,1))-AVERAGE(OFFSET($H$3,0,0,'Données projet'!$E$17+1,1))</f>
        <v>445.81166342116865</v>
      </c>
      <c r="GF192" s="60">
        <f t="shared" si="158"/>
        <v>230.82970731138215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5.6843418860808015E-14</v>
      </c>
      <c r="GV192" s="18">
        <f>GU192*VLOOKUP('Données projet'!$B$18,Paramètres!$A$1:$I$89,3,0)*VLOOKUP('Données projet'!$B$18,Paramètres!$A$1:$I$89,5,0)</f>
        <v>4.4337866711430253E-14</v>
      </c>
      <c r="GW192" s="14">
        <f t="shared" si="188"/>
        <v>7.3222115536967035E-13</v>
      </c>
      <c r="GX192" s="22">
        <f t="shared" si="189"/>
        <v>1.3525069634579169E-12</v>
      </c>
      <c r="GY192" s="60">
        <f t="shared" si="137"/>
        <v>293.33333333333468</v>
      </c>
      <c r="GZ192" s="60">
        <f ca="1">AVERAGE(OFFSET($GY$3,0,0,'Données projet'!$E$18+1,1))-AVERAGE(OFFSET($H$3,0,0,'Données projet'!$E$18+1,1))</f>
        <v>289.19475369871481</v>
      </c>
      <c r="HA192" s="60">
        <f t="shared" si="160"/>
        <v>283.48738729114024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projet'!$B$18,Paramètres!$A$1:$I$89,3,0)*0.475*44/12</f>
        <v>0</v>
      </c>
      <c r="HH192" s="23">
        <f>EXP(-LN(2)/25)*HH191+(1-EXP(-LN(2)/25))/(LN(2)/25)*Calculateur!HC192*Calculateur!HE192*VLOOKUP('Données projet'!$B$18,Paramètres!$A$1:$I$89,3,0)*0.475*44/12</f>
        <v>0</v>
      </c>
      <c r="HI192" s="23">
        <f>EXP(-LN(2)/2)*HI191+(1-EXP(-LN(2)/2))/(LN(2)/2)*HC192*HF192*VLOOKUP('Données projet'!$B$18,Paramètres!$A$1:$I$89,3,0)*0.475*44/12</f>
        <v>0</v>
      </c>
      <c r="HJ192" s="24">
        <f t="shared" si="190"/>
        <v>0</v>
      </c>
    </row>
    <row r="193" spans="1:218" x14ac:dyDescent="0.3">
      <c r="A193" s="11">
        <f t="shared" si="161"/>
        <v>190</v>
      </c>
      <c r="B193" s="75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8">
        <f t="shared" si="110"/>
        <v>256.66666666666669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-9.0949470177292824E-13</v>
      </c>
      <c r="O193" s="14">
        <f>N193*VLOOKUP('Données projet'!$B$9,Paramètres!$A$1:$I$89,3,0)*VLOOKUP('Données projet'!$B$9,Paramètres!$A$1:$I$89,5,0)</f>
        <v>-8.7966327555477625E-13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456.86147223520601</v>
      </c>
      <c r="T193" s="60">
        <f t="shared" si="142"/>
        <v>244.45149244446094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2.5579538487363607E-13</v>
      </c>
      <c r="AJ193" s="14">
        <f>AI193*VLOOKUP('Données projet'!$B$10,Paramètres!$A$1:$I$89,3,0)*VLOOKUP('Données projet'!$B$10,Paramètres!$A$1:$I$89,5,0)</f>
        <v>1.6759713616920635E-13</v>
      </c>
      <c r="AK193" s="14">
        <f t="shared" si="164"/>
        <v>2.3709043131075133E-12</v>
      </c>
      <c r="AL193" s="22">
        <f t="shared" si="165"/>
        <v>4.4212233574902864E-12</v>
      </c>
      <c r="AM193" s="60">
        <f t="shared" si="113"/>
        <v>293.33333333333775</v>
      </c>
      <c r="AN193" s="60">
        <f ca="1">AVERAGE(OFFSET($AM$3,0,0,'Données projet'!$E$10+1,1))-AVERAGE(OFFSET($H$3,0,0,'Données projet'!$E$10+1,1))</f>
        <v>170.79567854714986</v>
      </c>
      <c r="AO193" s="60">
        <f t="shared" si="144"/>
        <v>155.92788004111191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-1.1368683772161603E-13</v>
      </c>
      <c r="BE193" s="14">
        <f>BD193*VLOOKUP('Données projet'!$B$11,Paramètres!$A$1:$I$89,3,0)*VLOOKUP('Données projet'!$B$11,Paramètres!$A$1:$I$89,5,0)</f>
        <v>-9.2222762759774927E-14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256.19915261735281</v>
      </c>
      <c r="BJ193" s="60">
        <f t="shared" si="146"/>
        <v>297.47246687305056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-5.6843418860808015E-14</v>
      </c>
      <c r="BZ193" s="14">
        <f>BY193*VLOOKUP('Données projet'!$B$12,Paramètres!$A$1:$I$89,3,0)*VLOOKUP('Données projet'!$B$12,Paramètres!$A$1:$I$89,5,0)</f>
        <v>-5.4092197387944907E-14</v>
      </c>
      <c r="CA193" s="14" t="e">
        <f t="shared" si="170"/>
        <v>#NUM!</v>
      </c>
      <c r="CB193" s="22" t="e">
        <f t="shared" si="171"/>
        <v>#NUM!</v>
      </c>
      <c r="CC193" s="60" t="e">
        <f t="shared" si="119"/>
        <v>#NUM!</v>
      </c>
      <c r="CD193" s="60">
        <f ca="1">AVERAGE(OFFSET($CC$3,0,0,'Données projet'!$E$12+1,1))-AVERAGE(OFFSET($H$3,0,0,'Données projet'!$E$12+1,1))</f>
        <v>353.53401919391234</v>
      </c>
      <c r="CE193" s="60">
        <f t="shared" si="148"/>
        <v>244.7141066773861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-9.0949470177292824E-13</v>
      </c>
      <c r="CU193" s="18">
        <f>CT193*VLOOKUP('Données projet'!$B$13,Paramètres!$A$1:$I$89,3,0)*VLOOKUP('Données projet'!$B$13,Paramètres!$A$1:$I$89,5,0)</f>
        <v>-7.6615833677351478E-13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403.33327536410098</v>
      </c>
      <c r="CZ193" s="60">
        <f t="shared" si="150"/>
        <v>218.26721063098552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3.4106051316484809E-13</v>
      </c>
      <c r="DP193" s="18">
        <f>DO193*VLOOKUP('Données projet'!$B$14,Paramètres!$A$1:$I$89,3,0)*VLOOKUP('Données projet'!$B$14,Paramètres!$A$1:$I$89,5,0)</f>
        <v>2.7134774427395314E-13</v>
      </c>
      <c r="DQ193" s="14">
        <f t="shared" si="176"/>
        <v>3.6292411711343559E-12</v>
      </c>
      <c r="DR193" s="22">
        <f t="shared" si="177"/>
        <v>6.7935256943361388E-12</v>
      </c>
      <c r="DS193" s="60">
        <f t="shared" si="125"/>
        <v>293.33333333334014</v>
      </c>
      <c r="DT193" s="60">
        <f ca="1">AVERAGE(OFFSET($DS$3,0,0,'Données projet'!$E$14+1,1))-AVERAGE(OFFSET($H$3,0,0,'Données projet'!$E$14+1,1))</f>
        <v>317.13087551964747</v>
      </c>
      <c r="DU193" s="60">
        <f t="shared" si="152"/>
        <v>293.43300041793185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1.7053025658242404E-13</v>
      </c>
      <c r="EK193" s="18">
        <f>EJ193*VLOOKUP('Données projet'!$B$15,Paramètres!$A$1:$I$89,3,0)*VLOOKUP('Données projet'!$B$15,Paramètres!$A$1:$I$89,5,0)</f>
        <v>1.3567387213697657E-13</v>
      </c>
      <c r="EL193" s="14">
        <f t="shared" si="179"/>
        <v>1.9670967679808581E-12</v>
      </c>
      <c r="EM193" s="22">
        <f t="shared" si="180"/>
        <v>3.6623255315385623E-12</v>
      </c>
      <c r="EN193" s="60">
        <f t="shared" si="128"/>
        <v>293.33333333333695</v>
      </c>
      <c r="EO193" s="60">
        <f ca="1">AVERAGE(OFFSET($EN$3,0,0,'Données projet'!$E$15+1,1))-AVERAGE(OFFSET($H$3,0,0,'Données projet'!$E$15+1,1))</f>
        <v>253.03289960511904</v>
      </c>
      <c r="EP193" s="60">
        <f t="shared" si="154"/>
        <v>236.85088713056018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1.7053025658242404E-13</v>
      </c>
      <c r="FF193" s="18">
        <f>FE193*VLOOKUP('Données projet'!$B$16,Paramètres!$A$1:$I$89,3,0)*VLOOKUP('Données projet'!$B$16,Paramètres!$A$1:$I$89,5,0)</f>
        <v>1.4897523215040567E-13</v>
      </c>
      <c r="FG193" s="14">
        <f t="shared" si="182"/>
        <v>2.136562777003313E-12</v>
      </c>
      <c r="FH193" s="22">
        <f t="shared" si="183"/>
        <v>3.9806453659427267E-12</v>
      </c>
      <c r="FI193" s="60">
        <f t="shared" si="131"/>
        <v>293.33333333333729</v>
      </c>
      <c r="FJ193" s="60">
        <f ca="1">AVERAGE(OFFSET($FI$3,0,0,'Données projet'!$E$16+1,1))-AVERAGE(OFFSET($H$3,0,0,'Données projet'!$E$16+1,1))</f>
        <v>274.38315511766132</v>
      </c>
      <c r="FK193" s="60">
        <f t="shared" si="156"/>
        <v>255.96663040027175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-1.1368683772161603E-13</v>
      </c>
      <c r="GA193" s="18">
        <f>FZ193*VLOOKUP('Données projet'!$B$17,Paramètres!$A$1:$I$89,3,0)*VLOOKUP('Données projet'!$B$17,Paramètres!$A$1:$I$89,5,0)</f>
        <v>-9.7543306765146564E-14</v>
      </c>
      <c r="GB193" s="14" t="e">
        <f t="shared" si="185"/>
        <v>#NUM!</v>
      </c>
      <c r="GC193" s="22" t="e">
        <f t="shared" si="186"/>
        <v>#NUM!</v>
      </c>
      <c r="GD193" s="60" t="e">
        <f t="shared" si="134"/>
        <v>#NUM!</v>
      </c>
      <c r="GE193" s="60">
        <f ca="1">AVERAGE(OFFSET($GD$3,0,0,'Données projet'!$E$17+1,1))-AVERAGE(OFFSET($H$3,0,0,'Données projet'!$E$17+1,1))</f>
        <v>445.81166342116865</v>
      </c>
      <c r="GF193" s="60">
        <f t="shared" si="158"/>
        <v>230.82970731138215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5.6843418860808015E-14</v>
      </c>
      <c r="GV193" s="18">
        <f>GU193*VLOOKUP('Données projet'!$B$18,Paramètres!$A$1:$I$89,3,0)*VLOOKUP('Données projet'!$B$18,Paramètres!$A$1:$I$89,5,0)</f>
        <v>4.4337866711430253E-14</v>
      </c>
      <c r="GW193" s="14">
        <f t="shared" si="188"/>
        <v>7.3222115536967035E-13</v>
      </c>
      <c r="GX193" s="22">
        <f t="shared" si="189"/>
        <v>1.3525069634579169E-12</v>
      </c>
      <c r="GY193" s="60">
        <f t="shared" si="137"/>
        <v>293.33333333333468</v>
      </c>
      <c r="GZ193" s="60">
        <f ca="1">AVERAGE(OFFSET($GY$3,0,0,'Données projet'!$E$18+1,1))-AVERAGE(OFFSET($H$3,0,0,'Données projet'!$E$18+1,1))</f>
        <v>289.19475369871481</v>
      </c>
      <c r="HA193" s="60">
        <f t="shared" si="160"/>
        <v>283.48738729114024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projet'!$B$18,Paramètres!$A$1:$I$89,3,0)*0.475*44/12</f>
        <v>0</v>
      </c>
      <c r="HH193" s="23">
        <f>EXP(-LN(2)/25)*HH192+(1-EXP(-LN(2)/25))/(LN(2)/25)*Calculateur!HC193*Calculateur!HE193*VLOOKUP('Données projet'!$B$18,Paramètres!$A$1:$I$89,3,0)*0.475*44/12</f>
        <v>0</v>
      </c>
      <c r="HI193" s="23">
        <f>EXP(-LN(2)/2)*HI192+(1-EXP(-LN(2)/2))/(LN(2)/2)*HC193*HF193*VLOOKUP('Données projet'!$B$18,Paramètres!$A$1:$I$89,3,0)*0.475*44/12</f>
        <v>0</v>
      </c>
      <c r="HJ193" s="24">
        <f t="shared" si="190"/>
        <v>0</v>
      </c>
    </row>
    <row r="194" spans="1:218" x14ac:dyDescent="0.3">
      <c r="A194" s="11">
        <f t="shared" si="161"/>
        <v>191</v>
      </c>
      <c r="B194" s="75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8">
        <f t="shared" si="110"/>
        <v>256.66666666666669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-9.0949470177292824E-13</v>
      </c>
      <c r="O194" s="14">
        <f>N194*VLOOKUP('Données projet'!$B$9,Paramètres!$A$1:$I$89,3,0)*VLOOKUP('Données projet'!$B$9,Paramètres!$A$1:$I$89,5,0)</f>
        <v>-8.7966327555477625E-13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456.86147223520601</v>
      </c>
      <c r="T194" s="60">
        <f t="shared" si="142"/>
        <v>244.45149244446094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2.5579538487363607E-13</v>
      </c>
      <c r="AJ194" s="14">
        <f>AI194*VLOOKUP('Données projet'!$B$10,Paramètres!$A$1:$I$89,3,0)*VLOOKUP('Données projet'!$B$10,Paramètres!$A$1:$I$89,5,0)</f>
        <v>1.6759713616920635E-13</v>
      </c>
      <c r="AK194" s="14">
        <f t="shared" si="164"/>
        <v>2.3709043131075133E-12</v>
      </c>
      <c r="AL194" s="22">
        <f t="shared" si="165"/>
        <v>4.4212233574902864E-12</v>
      </c>
      <c r="AM194" s="60">
        <f t="shared" si="113"/>
        <v>293.33333333333775</v>
      </c>
      <c r="AN194" s="60">
        <f ca="1">AVERAGE(OFFSET($AM$3,0,0,'Données projet'!$E$10+1,1))-AVERAGE(OFFSET($H$3,0,0,'Données projet'!$E$10+1,1))</f>
        <v>170.79567854714986</v>
      </c>
      <c r="AO194" s="60">
        <f t="shared" si="144"/>
        <v>155.92788004111191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>
        <f>BD194*VLOOKUP('Données projet'!$B$11,Paramètres!$A$1:$I$89,3,0)*VLOOKUP('Données projet'!$B$11,Paramètres!$A$1:$I$89,5,0)</f>
        <v>-9.2222762759774927E-14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256.19915261735281</v>
      </c>
      <c r="BJ194" s="60">
        <f t="shared" si="146"/>
        <v>297.47246687305056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-5.6843418860808015E-14</v>
      </c>
      <c r="BZ194" s="14">
        <f>BY194*VLOOKUP('Données projet'!$B$12,Paramètres!$A$1:$I$89,3,0)*VLOOKUP('Données projet'!$B$12,Paramètres!$A$1:$I$89,5,0)</f>
        <v>-5.4092197387944907E-14</v>
      </c>
      <c r="CA194" s="14" t="e">
        <f t="shared" si="170"/>
        <v>#NUM!</v>
      </c>
      <c r="CB194" s="22" t="e">
        <f t="shared" si="171"/>
        <v>#NUM!</v>
      </c>
      <c r="CC194" s="60" t="e">
        <f t="shared" si="119"/>
        <v>#NUM!</v>
      </c>
      <c r="CD194" s="60">
        <f ca="1">AVERAGE(OFFSET($CC$3,0,0,'Données projet'!$E$12+1,1))-AVERAGE(OFFSET($H$3,0,0,'Données projet'!$E$12+1,1))</f>
        <v>353.53401919391234</v>
      </c>
      <c r="CE194" s="60">
        <f t="shared" si="148"/>
        <v>244.7141066773861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-9.0949470177292824E-13</v>
      </c>
      <c r="CU194" s="18">
        <f>CT194*VLOOKUP('Données projet'!$B$13,Paramètres!$A$1:$I$89,3,0)*VLOOKUP('Données projet'!$B$13,Paramètres!$A$1:$I$89,5,0)</f>
        <v>-7.6615833677351478E-13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403.33327536410098</v>
      </c>
      <c r="CZ194" s="60">
        <f t="shared" si="150"/>
        <v>218.26721063098552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3.4106051316484809E-13</v>
      </c>
      <c r="DP194" s="18">
        <f>DO194*VLOOKUP('Données projet'!$B$14,Paramètres!$A$1:$I$89,3,0)*VLOOKUP('Données projet'!$B$14,Paramètres!$A$1:$I$89,5,0)</f>
        <v>2.7134774427395314E-13</v>
      </c>
      <c r="DQ194" s="14">
        <f t="shared" si="176"/>
        <v>3.6292411711343559E-12</v>
      </c>
      <c r="DR194" s="22">
        <f t="shared" si="177"/>
        <v>6.7935256943361388E-12</v>
      </c>
      <c r="DS194" s="60">
        <f t="shared" si="125"/>
        <v>293.33333333334014</v>
      </c>
      <c r="DT194" s="60">
        <f ca="1">AVERAGE(OFFSET($DS$3,0,0,'Données projet'!$E$14+1,1))-AVERAGE(OFFSET($H$3,0,0,'Données projet'!$E$14+1,1))</f>
        <v>317.13087551964747</v>
      </c>
      <c r="DU194" s="60">
        <f t="shared" si="152"/>
        <v>293.43300041793185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1.7053025658242404E-13</v>
      </c>
      <c r="EK194" s="18">
        <f>EJ194*VLOOKUP('Données projet'!$B$15,Paramètres!$A$1:$I$89,3,0)*VLOOKUP('Données projet'!$B$15,Paramètres!$A$1:$I$89,5,0)</f>
        <v>1.3567387213697657E-13</v>
      </c>
      <c r="EL194" s="14">
        <f t="shared" si="179"/>
        <v>1.9670967679808581E-12</v>
      </c>
      <c r="EM194" s="22">
        <f t="shared" si="180"/>
        <v>3.6623255315385623E-12</v>
      </c>
      <c r="EN194" s="60">
        <f t="shared" si="128"/>
        <v>293.33333333333695</v>
      </c>
      <c r="EO194" s="60">
        <f ca="1">AVERAGE(OFFSET($EN$3,0,0,'Données projet'!$E$15+1,1))-AVERAGE(OFFSET($H$3,0,0,'Données projet'!$E$15+1,1))</f>
        <v>253.03289960511904</v>
      </c>
      <c r="EP194" s="60">
        <f t="shared" si="154"/>
        <v>236.85088713056018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1.7053025658242404E-13</v>
      </c>
      <c r="FF194" s="18">
        <f>FE194*VLOOKUP('Données projet'!$B$16,Paramètres!$A$1:$I$89,3,0)*VLOOKUP('Données projet'!$B$16,Paramètres!$A$1:$I$89,5,0)</f>
        <v>1.4897523215040567E-13</v>
      </c>
      <c r="FG194" s="14">
        <f t="shared" si="182"/>
        <v>2.136562777003313E-12</v>
      </c>
      <c r="FH194" s="22">
        <f t="shared" si="183"/>
        <v>3.9806453659427267E-12</v>
      </c>
      <c r="FI194" s="60">
        <f t="shared" si="131"/>
        <v>293.33333333333729</v>
      </c>
      <c r="FJ194" s="60">
        <f ca="1">AVERAGE(OFFSET($FI$3,0,0,'Données projet'!$E$16+1,1))-AVERAGE(OFFSET($H$3,0,0,'Données projet'!$E$16+1,1))</f>
        <v>274.38315511766132</v>
      </c>
      <c r="FK194" s="60">
        <f t="shared" si="156"/>
        <v>255.96663040027175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-1.1368683772161603E-13</v>
      </c>
      <c r="GA194" s="18">
        <f>FZ194*VLOOKUP('Données projet'!$B$17,Paramètres!$A$1:$I$89,3,0)*VLOOKUP('Données projet'!$B$17,Paramètres!$A$1:$I$89,5,0)</f>
        <v>-9.7543306765146564E-14</v>
      </c>
      <c r="GB194" s="14" t="e">
        <f t="shared" si="185"/>
        <v>#NUM!</v>
      </c>
      <c r="GC194" s="22" t="e">
        <f t="shared" si="186"/>
        <v>#NUM!</v>
      </c>
      <c r="GD194" s="60" t="e">
        <f t="shared" si="134"/>
        <v>#NUM!</v>
      </c>
      <c r="GE194" s="60">
        <f ca="1">AVERAGE(OFFSET($GD$3,0,0,'Données projet'!$E$17+1,1))-AVERAGE(OFFSET($H$3,0,0,'Données projet'!$E$17+1,1))</f>
        <v>445.81166342116865</v>
      </c>
      <c r="GF194" s="60">
        <f t="shared" si="158"/>
        <v>230.82970731138215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5.6843418860808015E-14</v>
      </c>
      <c r="GV194" s="18">
        <f>GU194*VLOOKUP('Données projet'!$B$18,Paramètres!$A$1:$I$89,3,0)*VLOOKUP('Données projet'!$B$18,Paramètres!$A$1:$I$89,5,0)</f>
        <v>4.4337866711430253E-14</v>
      </c>
      <c r="GW194" s="14">
        <f t="shared" si="188"/>
        <v>7.3222115536967035E-13</v>
      </c>
      <c r="GX194" s="22">
        <f t="shared" si="189"/>
        <v>1.3525069634579169E-12</v>
      </c>
      <c r="GY194" s="60">
        <f t="shared" si="137"/>
        <v>293.33333333333468</v>
      </c>
      <c r="GZ194" s="60">
        <f ca="1">AVERAGE(OFFSET($GY$3,0,0,'Données projet'!$E$18+1,1))-AVERAGE(OFFSET($H$3,0,0,'Données projet'!$E$18+1,1))</f>
        <v>289.19475369871481</v>
      </c>
      <c r="HA194" s="60">
        <f t="shared" si="160"/>
        <v>283.48738729114024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projet'!$B$18,Paramètres!$A$1:$I$89,3,0)*0.475*44/12</f>
        <v>0</v>
      </c>
      <c r="HH194" s="23">
        <f>EXP(-LN(2)/25)*HH193+(1-EXP(-LN(2)/25))/(LN(2)/25)*Calculateur!HC194*Calculateur!HE194*VLOOKUP('Données projet'!$B$18,Paramètres!$A$1:$I$89,3,0)*0.475*44/12</f>
        <v>0</v>
      </c>
      <c r="HI194" s="23">
        <f>EXP(-LN(2)/2)*HI193+(1-EXP(-LN(2)/2))/(LN(2)/2)*HC194*HF194*VLOOKUP('Données projet'!$B$18,Paramètres!$A$1:$I$89,3,0)*0.475*44/12</f>
        <v>0</v>
      </c>
      <c r="HJ194" s="24">
        <f t="shared" si="190"/>
        <v>0</v>
      </c>
    </row>
    <row r="195" spans="1:218" x14ac:dyDescent="0.3">
      <c r="A195" s="11">
        <f t="shared" si="161"/>
        <v>192</v>
      </c>
      <c r="B195" s="75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8">
        <f t="shared" si="110"/>
        <v>256.66666666666669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-9.0949470177292824E-13</v>
      </c>
      <c r="O195" s="14">
        <f>N195*VLOOKUP('Données projet'!$B$9,Paramètres!$A$1:$I$89,3,0)*VLOOKUP('Données projet'!$B$9,Paramètres!$A$1:$I$89,5,0)</f>
        <v>-8.7966327555477625E-13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456.86147223520601</v>
      </c>
      <c r="T195" s="60">
        <f t="shared" si="142"/>
        <v>244.45149244446094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2.5579538487363607E-13</v>
      </c>
      <c r="AJ195" s="14">
        <f>AI195*VLOOKUP('Données projet'!$B$10,Paramètres!$A$1:$I$89,3,0)*VLOOKUP('Données projet'!$B$10,Paramètres!$A$1:$I$89,5,0)</f>
        <v>1.6759713616920635E-13</v>
      </c>
      <c r="AK195" s="14">
        <f t="shared" si="164"/>
        <v>2.3709043131075133E-12</v>
      </c>
      <c r="AL195" s="22">
        <f t="shared" si="165"/>
        <v>4.4212233574902864E-12</v>
      </c>
      <c r="AM195" s="60">
        <f t="shared" si="113"/>
        <v>293.33333333333775</v>
      </c>
      <c r="AN195" s="60">
        <f ca="1">AVERAGE(OFFSET($AM$3,0,0,'Données projet'!$E$10+1,1))-AVERAGE(OFFSET($H$3,0,0,'Données projet'!$E$10+1,1))</f>
        <v>170.79567854714986</v>
      </c>
      <c r="AO195" s="60">
        <f t="shared" si="144"/>
        <v>155.92788004111191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>
        <f>BD195*VLOOKUP('Données projet'!$B$11,Paramètres!$A$1:$I$89,3,0)*VLOOKUP('Données projet'!$B$11,Paramètres!$A$1:$I$89,5,0)</f>
        <v>-9.2222762759774927E-14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256.19915261735281</v>
      </c>
      <c r="BJ195" s="60">
        <f t="shared" si="146"/>
        <v>297.47246687305056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-5.6843418860808015E-14</v>
      </c>
      <c r="BZ195" s="14">
        <f>BY195*VLOOKUP('Données projet'!$B$12,Paramètres!$A$1:$I$89,3,0)*VLOOKUP('Données projet'!$B$12,Paramètres!$A$1:$I$89,5,0)</f>
        <v>-5.4092197387944907E-14</v>
      </c>
      <c r="CA195" s="14" t="e">
        <f t="shared" si="170"/>
        <v>#NUM!</v>
      </c>
      <c r="CB195" s="22" t="e">
        <f t="shared" si="171"/>
        <v>#NUM!</v>
      </c>
      <c r="CC195" s="60" t="e">
        <f t="shared" si="119"/>
        <v>#NUM!</v>
      </c>
      <c r="CD195" s="60">
        <f ca="1">AVERAGE(OFFSET($CC$3,0,0,'Données projet'!$E$12+1,1))-AVERAGE(OFFSET($H$3,0,0,'Données projet'!$E$12+1,1))</f>
        <v>353.53401919391234</v>
      </c>
      <c r="CE195" s="60">
        <f t="shared" si="148"/>
        <v>244.7141066773861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-9.0949470177292824E-13</v>
      </c>
      <c r="CU195" s="18">
        <f>CT195*VLOOKUP('Données projet'!$B$13,Paramètres!$A$1:$I$89,3,0)*VLOOKUP('Données projet'!$B$13,Paramètres!$A$1:$I$89,5,0)</f>
        <v>-7.6615833677351478E-13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403.33327536410098</v>
      </c>
      <c r="CZ195" s="60">
        <f t="shared" si="150"/>
        <v>218.26721063098552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3.4106051316484809E-13</v>
      </c>
      <c r="DP195" s="18">
        <f>DO195*VLOOKUP('Données projet'!$B$14,Paramètres!$A$1:$I$89,3,0)*VLOOKUP('Données projet'!$B$14,Paramètres!$A$1:$I$89,5,0)</f>
        <v>2.7134774427395314E-13</v>
      </c>
      <c r="DQ195" s="14">
        <f t="shared" si="176"/>
        <v>3.6292411711343559E-12</v>
      </c>
      <c r="DR195" s="22">
        <f t="shared" si="177"/>
        <v>6.7935256943361388E-12</v>
      </c>
      <c r="DS195" s="60">
        <f t="shared" si="125"/>
        <v>293.33333333334014</v>
      </c>
      <c r="DT195" s="60">
        <f ca="1">AVERAGE(OFFSET($DS$3,0,0,'Données projet'!$E$14+1,1))-AVERAGE(OFFSET($H$3,0,0,'Données projet'!$E$14+1,1))</f>
        <v>317.13087551964747</v>
      </c>
      <c r="DU195" s="60">
        <f t="shared" si="152"/>
        <v>293.43300041793185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1.7053025658242404E-13</v>
      </c>
      <c r="EK195" s="18">
        <f>EJ195*VLOOKUP('Données projet'!$B$15,Paramètres!$A$1:$I$89,3,0)*VLOOKUP('Données projet'!$B$15,Paramètres!$A$1:$I$89,5,0)</f>
        <v>1.3567387213697657E-13</v>
      </c>
      <c r="EL195" s="14">
        <f t="shared" si="179"/>
        <v>1.9670967679808581E-12</v>
      </c>
      <c r="EM195" s="22">
        <f t="shared" si="180"/>
        <v>3.6623255315385623E-12</v>
      </c>
      <c r="EN195" s="60">
        <f t="shared" si="128"/>
        <v>293.33333333333695</v>
      </c>
      <c r="EO195" s="60">
        <f ca="1">AVERAGE(OFFSET($EN$3,0,0,'Données projet'!$E$15+1,1))-AVERAGE(OFFSET($H$3,0,0,'Données projet'!$E$15+1,1))</f>
        <v>253.03289960511904</v>
      </c>
      <c r="EP195" s="60">
        <f t="shared" si="154"/>
        <v>236.85088713056018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1.7053025658242404E-13</v>
      </c>
      <c r="FF195" s="18">
        <f>FE195*VLOOKUP('Données projet'!$B$16,Paramètres!$A$1:$I$89,3,0)*VLOOKUP('Données projet'!$B$16,Paramètres!$A$1:$I$89,5,0)</f>
        <v>1.4897523215040567E-13</v>
      </c>
      <c r="FG195" s="14">
        <f t="shared" si="182"/>
        <v>2.136562777003313E-12</v>
      </c>
      <c r="FH195" s="22">
        <f t="shared" si="183"/>
        <v>3.9806453659427267E-12</v>
      </c>
      <c r="FI195" s="60">
        <f t="shared" si="131"/>
        <v>293.33333333333729</v>
      </c>
      <c r="FJ195" s="60">
        <f ca="1">AVERAGE(OFFSET($FI$3,0,0,'Données projet'!$E$16+1,1))-AVERAGE(OFFSET($H$3,0,0,'Données projet'!$E$16+1,1))</f>
        <v>274.38315511766132</v>
      </c>
      <c r="FK195" s="60">
        <f t="shared" si="156"/>
        <v>255.96663040027175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-1.1368683772161603E-13</v>
      </c>
      <c r="GA195" s="18">
        <f>FZ195*VLOOKUP('Données projet'!$B$17,Paramètres!$A$1:$I$89,3,0)*VLOOKUP('Données projet'!$B$17,Paramètres!$A$1:$I$89,5,0)</f>
        <v>-9.7543306765146564E-14</v>
      </c>
      <c r="GB195" s="14" t="e">
        <f t="shared" si="185"/>
        <v>#NUM!</v>
      </c>
      <c r="GC195" s="22" t="e">
        <f t="shared" si="186"/>
        <v>#NUM!</v>
      </c>
      <c r="GD195" s="60" t="e">
        <f t="shared" si="134"/>
        <v>#NUM!</v>
      </c>
      <c r="GE195" s="60">
        <f ca="1">AVERAGE(OFFSET($GD$3,0,0,'Données projet'!$E$17+1,1))-AVERAGE(OFFSET($H$3,0,0,'Données projet'!$E$17+1,1))</f>
        <v>445.81166342116865</v>
      </c>
      <c r="GF195" s="60">
        <f t="shared" si="158"/>
        <v>230.82970731138215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5.6843418860808015E-14</v>
      </c>
      <c r="GV195" s="18">
        <f>GU195*VLOOKUP('Données projet'!$B$18,Paramètres!$A$1:$I$89,3,0)*VLOOKUP('Données projet'!$B$18,Paramètres!$A$1:$I$89,5,0)</f>
        <v>4.4337866711430253E-14</v>
      </c>
      <c r="GW195" s="14">
        <f t="shared" si="188"/>
        <v>7.3222115536967035E-13</v>
      </c>
      <c r="GX195" s="22">
        <f t="shared" si="189"/>
        <v>1.3525069634579169E-12</v>
      </c>
      <c r="GY195" s="60">
        <f t="shared" si="137"/>
        <v>293.33333333333468</v>
      </c>
      <c r="GZ195" s="60">
        <f ca="1">AVERAGE(OFFSET($GY$3,0,0,'Données projet'!$E$18+1,1))-AVERAGE(OFFSET($H$3,0,0,'Données projet'!$E$18+1,1))</f>
        <v>289.19475369871481</v>
      </c>
      <c r="HA195" s="60">
        <f t="shared" si="160"/>
        <v>283.48738729114024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projet'!$B$18,Paramètres!$A$1:$I$89,3,0)*0.475*44/12</f>
        <v>0</v>
      </c>
      <c r="HH195" s="23">
        <f>EXP(-LN(2)/25)*HH194+(1-EXP(-LN(2)/25))/(LN(2)/25)*Calculateur!HC195*Calculateur!HE195*VLOOKUP('Données projet'!$B$18,Paramètres!$A$1:$I$89,3,0)*0.475*44/12</f>
        <v>0</v>
      </c>
      <c r="HI195" s="23">
        <f>EXP(-LN(2)/2)*HI194+(1-EXP(-LN(2)/2))/(LN(2)/2)*HC195*HF195*VLOOKUP('Données projet'!$B$18,Paramètres!$A$1:$I$89,3,0)*0.475*44/12</f>
        <v>0</v>
      </c>
      <c r="HJ195" s="24">
        <f t="shared" si="190"/>
        <v>0</v>
      </c>
    </row>
    <row r="196" spans="1:218" x14ac:dyDescent="0.3">
      <c r="A196" s="11">
        <f t="shared" si="161"/>
        <v>193</v>
      </c>
      <c r="B196" s="75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8">
        <f t="shared" ref="H196:H203" si="192">(B196+E196+F196)*44/12+(C196+D196)*0.475*44/12</f>
        <v>256.66666666666669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-9.0949470177292824E-13</v>
      </c>
      <c r="O196" s="14">
        <f>N196*VLOOKUP('Données projet'!$B$9,Paramètres!$A$1:$I$89,3,0)*VLOOKUP('Données projet'!$B$9,Paramètres!$A$1:$I$89,5,0)</f>
        <v>-8.7966327555477625E-13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456.86147223520601</v>
      </c>
      <c r="T196" s="60">
        <f t="shared" si="142"/>
        <v>244.45149244446094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2.5579538487363607E-13</v>
      </c>
      <c r="AJ196" s="14">
        <f>AI196*VLOOKUP('Données projet'!$B$10,Paramètres!$A$1:$I$89,3,0)*VLOOKUP('Données projet'!$B$10,Paramètres!$A$1:$I$89,5,0)</f>
        <v>1.6759713616920635E-13</v>
      </c>
      <c r="AK196" s="14">
        <f t="shared" si="164"/>
        <v>2.3709043131075133E-12</v>
      </c>
      <c r="AL196" s="22">
        <f t="shared" si="165"/>
        <v>4.4212233574902864E-12</v>
      </c>
      <c r="AM196" s="60">
        <f t="shared" ref="AM196:AM203" si="193">AL196+(AD196+AE196)*44/12</f>
        <v>293.33333333333775</v>
      </c>
      <c r="AN196" s="60">
        <f ca="1">AVERAGE(OFFSET($AM$3,0,0,'Données projet'!$E$10+1,1))-AVERAGE(OFFSET($H$3,0,0,'Données projet'!$E$10+1,1))</f>
        <v>170.79567854714986</v>
      </c>
      <c r="AO196" s="60">
        <f t="shared" si="144"/>
        <v>155.92788004111191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>
        <f>BD196*VLOOKUP('Données projet'!$B$11,Paramètres!$A$1:$I$89,3,0)*VLOOKUP('Données projet'!$B$11,Paramètres!$A$1:$I$89,5,0)</f>
        <v>-9.2222762759774927E-14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256.19915261735281</v>
      </c>
      <c r="BJ196" s="60">
        <f t="shared" si="146"/>
        <v>297.47246687305056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-5.6843418860808015E-14</v>
      </c>
      <c r="BZ196" s="14">
        <f>BY196*VLOOKUP('Données projet'!$B$12,Paramètres!$A$1:$I$89,3,0)*VLOOKUP('Données projet'!$B$12,Paramètres!$A$1:$I$89,5,0)</f>
        <v>-5.4092197387944907E-14</v>
      </c>
      <c r="CA196" s="14" t="e">
        <f t="shared" si="170"/>
        <v>#NUM!</v>
      </c>
      <c r="CB196" s="22" t="e">
        <f t="shared" si="171"/>
        <v>#NUM!</v>
      </c>
      <c r="CC196" s="60" t="e">
        <f t="shared" ref="CC196:CC203" si="195">CB196+(BT196+BU196)*44/12</f>
        <v>#NUM!</v>
      </c>
      <c r="CD196" s="60">
        <f ca="1">AVERAGE(OFFSET($CC$3,0,0,'Données projet'!$E$12+1,1))-AVERAGE(OFFSET($H$3,0,0,'Données projet'!$E$12+1,1))</f>
        <v>353.53401919391234</v>
      </c>
      <c r="CE196" s="60">
        <f t="shared" si="148"/>
        <v>244.7141066773861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-9.0949470177292824E-13</v>
      </c>
      <c r="CU196" s="18">
        <f>CT196*VLOOKUP('Données projet'!$B$13,Paramètres!$A$1:$I$89,3,0)*VLOOKUP('Données projet'!$B$13,Paramètres!$A$1:$I$89,5,0)</f>
        <v>-7.6615833677351478E-13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403.33327536410098</v>
      </c>
      <c r="CZ196" s="60">
        <f t="shared" si="150"/>
        <v>218.26721063098552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3.4106051316484809E-13</v>
      </c>
      <c r="DP196" s="18">
        <f>DO196*VLOOKUP('Données projet'!$B$14,Paramètres!$A$1:$I$89,3,0)*VLOOKUP('Données projet'!$B$14,Paramètres!$A$1:$I$89,5,0)</f>
        <v>2.7134774427395314E-13</v>
      </c>
      <c r="DQ196" s="14">
        <f t="shared" si="176"/>
        <v>3.6292411711343559E-12</v>
      </c>
      <c r="DR196" s="22">
        <f t="shared" si="177"/>
        <v>6.7935256943361388E-12</v>
      </c>
      <c r="DS196" s="60">
        <f t="shared" ref="DS196:DS203" si="197">DR196+(DJ196+DK196)*44/12</f>
        <v>293.33333333334014</v>
      </c>
      <c r="DT196" s="60">
        <f ca="1">AVERAGE(OFFSET($DS$3,0,0,'Données projet'!$E$14+1,1))-AVERAGE(OFFSET($H$3,0,0,'Données projet'!$E$14+1,1))</f>
        <v>317.13087551964747</v>
      </c>
      <c r="DU196" s="60">
        <f t="shared" si="152"/>
        <v>293.43300041793185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1.7053025658242404E-13</v>
      </c>
      <c r="EK196" s="18">
        <f>EJ196*VLOOKUP('Données projet'!$B$15,Paramètres!$A$1:$I$89,3,0)*VLOOKUP('Données projet'!$B$15,Paramètres!$A$1:$I$89,5,0)</f>
        <v>1.3567387213697657E-13</v>
      </c>
      <c r="EL196" s="14">
        <f t="shared" si="179"/>
        <v>1.9670967679808581E-12</v>
      </c>
      <c r="EM196" s="22">
        <f t="shared" si="180"/>
        <v>3.6623255315385623E-12</v>
      </c>
      <c r="EN196" s="60">
        <f t="shared" ref="EN196:EN203" si="198">EM196+(EE196+EF196)*44/12</f>
        <v>293.33333333333695</v>
      </c>
      <c r="EO196" s="60">
        <f ca="1">AVERAGE(OFFSET($EN$3,0,0,'Données projet'!$E$15+1,1))-AVERAGE(OFFSET($H$3,0,0,'Données projet'!$E$15+1,1))</f>
        <v>253.03289960511904</v>
      </c>
      <c r="EP196" s="60">
        <f t="shared" si="154"/>
        <v>236.85088713056018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1.7053025658242404E-13</v>
      </c>
      <c r="FF196" s="18">
        <f>FE196*VLOOKUP('Données projet'!$B$16,Paramètres!$A$1:$I$89,3,0)*VLOOKUP('Données projet'!$B$16,Paramètres!$A$1:$I$89,5,0)</f>
        <v>1.4897523215040567E-13</v>
      </c>
      <c r="FG196" s="14">
        <f t="shared" si="182"/>
        <v>2.136562777003313E-12</v>
      </c>
      <c r="FH196" s="22">
        <f t="shared" si="183"/>
        <v>3.9806453659427267E-12</v>
      </c>
      <c r="FI196" s="60">
        <f t="shared" ref="FI196:FI203" si="199">FH196+(EZ196+FA196)*44/12</f>
        <v>293.33333333333729</v>
      </c>
      <c r="FJ196" s="60">
        <f ca="1">AVERAGE(OFFSET($FI$3,0,0,'Données projet'!$E$16+1,1))-AVERAGE(OFFSET($H$3,0,0,'Données projet'!$E$16+1,1))</f>
        <v>274.38315511766132</v>
      </c>
      <c r="FK196" s="60">
        <f t="shared" si="156"/>
        <v>255.96663040027175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-1.1368683772161603E-13</v>
      </c>
      <c r="GA196" s="18">
        <f>FZ196*VLOOKUP('Données projet'!$B$17,Paramètres!$A$1:$I$89,3,0)*VLOOKUP('Données projet'!$B$17,Paramètres!$A$1:$I$89,5,0)</f>
        <v>-9.7543306765146564E-14</v>
      </c>
      <c r="GB196" s="14" t="e">
        <f t="shared" si="185"/>
        <v>#NUM!</v>
      </c>
      <c r="GC196" s="22" t="e">
        <f t="shared" si="186"/>
        <v>#NUM!</v>
      </c>
      <c r="GD196" s="60" t="e">
        <f t="shared" ref="GD196:GD203" si="200">GC196+(FU196+FV196)*44/12</f>
        <v>#NUM!</v>
      </c>
      <c r="GE196" s="60">
        <f ca="1">AVERAGE(OFFSET($GD$3,0,0,'Données projet'!$E$17+1,1))-AVERAGE(OFFSET($H$3,0,0,'Données projet'!$E$17+1,1))</f>
        <v>445.81166342116865</v>
      </c>
      <c r="GF196" s="60">
        <f t="shared" si="158"/>
        <v>230.82970731138215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5.6843418860808015E-14</v>
      </c>
      <c r="GV196" s="18">
        <f>GU196*VLOOKUP('Données projet'!$B$18,Paramètres!$A$1:$I$89,3,0)*VLOOKUP('Données projet'!$B$18,Paramètres!$A$1:$I$89,5,0)</f>
        <v>4.4337866711430253E-14</v>
      </c>
      <c r="GW196" s="14">
        <f t="shared" si="188"/>
        <v>7.3222115536967035E-13</v>
      </c>
      <c r="GX196" s="22">
        <f t="shared" si="189"/>
        <v>1.3525069634579169E-12</v>
      </c>
      <c r="GY196" s="60">
        <f t="shared" ref="GY196:GY203" si="201">GX196+(GP196+GQ196)*44/12</f>
        <v>293.33333333333468</v>
      </c>
      <c r="GZ196" s="60">
        <f ca="1">AVERAGE(OFFSET($GY$3,0,0,'Données projet'!$E$18+1,1))-AVERAGE(OFFSET($H$3,0,0,'Données projet'!$E$18+1,1))</f>
        <v>289.19475369871481</v>
      </c>
      <c r="HA196" s="60">
        <f t="shared" si="160"/>
        <v>283.48738729114024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projet'!$B$18,Paramètres!$A$1:$I$89,3,0)*0.475*44/12</f>
        <v>0</v>
      </c>
      <c r="HH196" s="23">
        <f>EXP(-LN(2)/25)*HH195+(1-EXP(-LN(2)/25))/(LN(2)/25)*Calculateur!HC196*Calculateur!HE196*VLOOKUP('Données projet'!$B$18,Paramètres!$A$1:$I$89,3,0)*0.475*44/12</f>
        <v>0</v>
      </c>
      <c r="HI196" s="23">
        <f>EXP(-LN(2)/2)*HI195+(1-EXP(-LN(2)/2))/(LN(2)/2)*HC196*HF196*VLOOKUP('Données projet'!$B$18,Paramètres!$A$1:$I$89,3,0)*0.475*44/12</f>
        <v>0</v>
      </c>
      <c r="HJ196" s="24">
        <f t="shared" si="190"/>
        <v>0</v>
      </c>
    </row>
    <row r="197" spans="1:218" x14ac:dyDescent="0.3">
      <c r="A197" s="11">
        <f t="shared" si="161"/>
        <v>194</v>
      </c>
      <c r="B197" s="75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8">
        <f t="shared" si="192"/>
        <v>256.66666666666669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-9.0949470177292824E-13</v>
      </c>
      <c r="O197" s="14">
        <f>N197*VLOOKUP('Données projet'!$B$9,Paramètres!$A$1:$I$89,3,0)*VLOOKUP('Données projet'!$B$9,Paramètres!$A$1:$I$89,5,0)</f>
        <v>-8.7966327555477625E-13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456.86147223520601</v>
      </c>
      <c r="T197" s="60">
        <f t="shared" ref="T197:T203" si="204">$T$3</f>
        <v>244.45149244446094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2.5579538487363607E-13</v>
      </c>
      <c r="AJ197" s="14">
        <f>AI197*VLOOKUP('Données projet'!$B$10,Paramètres!$A$1:$I$89,3,0)*VLOOKUP('Données projet'!$B$10,Paramètres!$A$1:$I$89,5,0)</f>
        <v>1.6759713616920635E-13</v>
      </c>
      <c r="AK197" s="14">
        <f t="shared" si="164"/>
        <v>2.3709043131075133E-12</v>
      </c>
      <c r="AL197" s="22">
        <f t="shared" si="165"/>
        <v>4.4212233574902864E-12</v>
      </c>
      <c r="AM197" s="60">
        <f t="shared" si="193"/>
        <v>293.33333333333775</v>
      </c>
      <c r="AN197" s="60">
        <f ca="1">AVERAGE(OFFSET($AM$3,0,0,'Données projet'!$E$10+1,1))-AVERAGE(OFFSET($H$3,0,0,'Données projet'!$E$10+1,1))</f>
        <v>170.79567854714986</v>
      </c>
      <c r="AO197" s="60">
        <f t="shared" ref="AO197:AO203" si="205">$AO$3</f>
        <v>155.92788004111191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>
        <f>BD197*VLOOKUP('Données projet'!$B$11,Paramètres!$A$1:$I$89,3,0)*VLOOKUP('Données projet'!$B$11,Paramètres!$A$1:$I$89,5,0)</f>
        <v>-9.2222762759774927E-14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256.19915261735281</v>
      </c>
      <c r="BJ197" s="60">
        <f t="shared" ref="BJ197:BJ203" si="206">$BJ$3</f>
        <v>297.47246687305056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-5.6843418860808015E-14</v>
      </c>
      <c r="BZ197" s="14">
        <f>BY197*VLOOKUP('Données projet'!$B$12,Paramètres!$A$1:$I$89,3,0)*VLOOKUP('Données projet'!$B$12,Paramètres!$A$1:$I$89,5,0)</f>
        <v>-5.4092197387944907E-14</v>
      </c>
      <c r="CA197" s="14" t="e">
        <f t="shared" si="170"/>
        <v>#NUM!</v>
      </c>
      <c r="CB197" s="22" t="e">
        <f t="shared" si="171"/>
        <v>#NUM!</v>
      </c>
      <c r="CC197" s="60" t="e">
        <f t="shared" si="195"/>
        <v>#NUM!</v>
      </c>
      <c r="CD197" s="60">
        <f ca="1">AVERAGE(OFFSET($CC$3,0,0,'Données projet'!$E$12+1,1))-AVERAGE(OFFSET($H$3,0,0,'Données projet'!$E$12+1,1))</f>
        <v>353.53401919391234</v>
      </c>
      <c r="CE197" s="60">
        <f t="shared" ref="CE197:CE203" si="207">$CE$3</f>
        <v>244.7141066773861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-9.0949470177292824E-13</v>
      </c>
      <c r="CU197" s="18">
        <f>CT197*VLOOKUP('Données projet'!$B$13,Paramètres!$A$1:$I$89,3,0)*VLOOKUP('Données projet'!$B$13,Paramètres!$A$1:$I$89,5,0)</f>
        <v>-7.6615833677351478E-13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403.33327536410098</v>
      </c>
      <c r="CZ197" s="60">
        <f t="shared" ref="CZ197:CZ203" si="208">$CZ$3</f>
        <v>218.26721063098552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3.4106051316484809E-13</v>
      </c>
      <c r="DP197" s="18">
        <f>DO197*VLOOKUP('Données projet'!$B$14,Paramètres!$A$1:$I$89,3,0)*VLOOKUP('Données projet'!$B$14,Paramètres!$A$1:$I$89,5,0)</f>
        <v>2.7134774427395314E-13</v>
      </c>
      <c r="DQ197" s="14">
        <f t="shared" si="176"/>
        <v>3.6292411711343559E-12</v>
      </c>
      <c r="DR197" s="22">
        <f t="shared" si="177"/>
        <v>6.7935256943361388E-12</v>
      </c>
      <c r="DS197" s="60">
        <f t="shared" si="197"/>
        <v>293.33333333334014</v>
      </c>
      <c r="DT197" s="60">
        <f ca="1">AVERAGE(OFFSET($DS$3,0,0,'Données projet'!$E$14+1,1))-AVERAGE(OFFSET($H$3,0,0,'Données projet'!$E$14+1,1))</f>
        <v>317.13087551964747</v>
      </c>
      <c r="DU197" s="60">
        <f t="shared" ref="DU197:DU203" si="209">$DU$3</f>
        <v>293.43300041793185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1.7053025658242404E-13</v>
      </c>
      <c r="EK197" s="18">
        <f>EJ197*VLOOKUP('Données projet'!$B$15,Paramètres!$A$1:$I$89,3,0)*VLOOKUP('Données projet'!$B$15,Paramètres!$A$1:$I$89,5,0)</f>
        <v>1.3567387213697657E-13</v>
      </c>
      <c r="EL197" s="14">
        <f t="shared" si="179"/>
        <v>1.9670967679808581E-12</v>
      </c>
      <c r="EM197" s="22">
        <f t="shared" si="180"/>
        <v>3.6623255315385623E-12</v>
      </c>
      <c r="EN197" s="60">
        <f t="shared" si="198"/>
        <v>293.33333333333695</v>
      </c>
      <c r="EO197" s="60">
        <f ca="1">AVERAGE(OFFSET($EN$3,0,0,'Données projet'!$E$15+1,1))-AVERAGE(OFFSET($H$3,0,0,'Données projet'!$E$15+1,1))</f>
        <v>253.03289960511904</v>
      </c>
      <c r="EP197" s="60">
        <f t="shared" ref="EP197:EP203" si="210">$EP$3</f>
        <v>236.85088713056018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1.7053025658242404E-13</v>
      </c>
      <c r="FF197" s="18">
        <f>FE197*VLOOKUP('Données projet'!$B$16,Paramètres!$A$1:$I$89,3,0)*VLOOKUP('Données projet'!$B$16,Paramètres!$A$1:$I$89,5,0)</f>
        <v>1.4897523215040567E-13</v>
      </c>
      <c r="FG197" s="14">
        <f t="shared" si="182"/>
        <v>2.136562777003313E-12</v>
      </c>
      <c r="FH197" s="22">
        <f t="shared" si="183"/>
        <v>3.9806453659427267E-12</v>
      </c>
      <c r="FI197" s="60">
        <f t="shared" si="199"/>
        <v>293.33333333333729</v>
      </c>
      <c r="FJ197" s="60">
        <f ca="1">AVERAGE(OFFSET($FI$3,0,0,'Données projet'!$E$16+1,1))-AVERAGE(OFFSET($H$3,0,0,'Données projet'!$E$16+1,1))</f>
        <v>274.38315511766132</v>
      </c>
      <c r="FK197" s="60">
        <f t="shared" ref="FK197:FK203" si="211">$FK$3</f>
        <v>255.96663040027175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-1.1368683772161603E-13</v>
      </c>
      <c r="GA197" s="18">
        <f>FZ197*VLOOKUP('Données projet'!$B$17,Paramètres!$A$1:$I$89,3,0)*VLOOKUP('Données projet'!$B$17,Paramètres!$A$1:$I$89,5,0)</f>
        <v>-9.7543306765146564E-14</v>
      </c>
      <c r="GB197" s="14" t="e">
        <f t="shared" si="185"/>
        <v>#NUM!</v>
      </c>
      <c r="GC197" s="22" t="e">
        <f t="shared" si="186"/>
        <v>#NUM!</v>
      </c>
      <c r="GD197" s="60" t="e">
        <f t="shared" si="200"/>
        <v>#NUM!</v>
      </c>
      <c r="GE197" s="60">
        <f ca="1">AVERAGE(OFFSET($GD$3,0,0,'Données projet'!$E$17+1,1))-AVERAGE(OFFSET($H$3,0,0,'Données projet'!$E$17+1,1))</f>
        <v>445.81166342116865</v>
      </c>
      <c r="GF197" s="60">
        <f t="shared" ref="GF197:GF203" si="212">$GF$3</f>
        <v>230.82970731138215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5.6843418860808015E-14</v>
      </c>
      <c r="GV197" s="18">
        <f>GU197*VLOOKUP('Données projet'!$B$18,Paramètres!$A$1:$I$89,3,0)*VLOOKUP('Données projet'!$B$18,Paramètres!$A$1:$I$89,5,0)</f>
        <v>4.4337866711430253E-14</v>
      </c>
      <c r="GW197" s="14">
        <f t="shared" si="188"/>
        <v>7.3222115536967035E-13</v>
      </c>
      <c r="GX197" s="22">
        <f t="shared" si="189"/>
        <v>1.3525069634579169E-12</v>
      </c>
      <c r="GY197" s="60">
        <f t="shared" si="201"/>
        <v>293.33333333333468</v>
      </c>
      <c r="GZ197" s="60">
        <f ca="1">AVERAGE(OFFSET($GY$3,0,0,'Données projet'!$E$18+1,1))-AVERAGE(OFFSET($H$3,0,0,'Données projet'!$E$18+1,1))</f>
        <v>289.19475369871481</v>
      </c>
      <c r="HA197" s="60">
        <f t="shared" ref="HA197:HA203" si="213">$HA$3</f>
        <v>283.48738729114024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projet'!$B$18,Paramètres!$A$1:$I$89,3,0)*0.475*44/12</f>
        <v>0</v>
      </c>
      <c r="HH197" s="23">
        <f>EXP(-LN(2)/25)*HH196+(1-EXP(-LN(2)/25))/(LN(2)/25)*Calculateur!HC197*Calculateur!HE197*VLOOKUP('Données projet'!$B$18,Paramètres!$A$1:$I$89,3,0)*0.475*44/12</f>
        <v>0</v>
      </c>
      <c r="HI197" s="23">
        <f>EXP(-LN(2)/2)*HI196+(1-EXP(-LN(2)/2))/(LN(2)/2)*HC197*HF197*VLOOKUP('Données projet'!$B$18,Paramètres!$A$1:$I$89,3,0)*0.475*44/12</f>
        <v>0</v>
      </c>
      <c r="HJ197" s="24">
        <f t="shared" si="190"/>
        <v>0</v>
      </c>
    </row>
    <row r="198" spans="1:218" x14ac:dyDescent="0.3">
      <c r="A198" s="11">
        <f t="shared" si="161"/>
        <v>195</v>
      </c>
      <c r="B198" s="75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8">
        <f t="shared" si="192"/>
        <v>256.66666666666669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-9.0949470177292824E-13</v>
      </c>
      <c r="O198" s="14">
        <f>N198*VLOOKUP('Données projet'!$B$9,Paramètres!$A$1:$I$89,3,0)*VLOOKUP('Données projet'!$B$9,Paramètres!$A$1:$I$89,5,0)</f>
        <v>-8.7966327555477625E-13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456.86147223520601</v>
      </c>
      <c r="T198" s="60">
        <f t="shared" si="204"/>
        <v>244.45149244446094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2.5579538487363607E-13</v>
      </c>
      <c r="AJ198" s="14">
        <f>AI198*VLOOKUP('Données projet'!$B$10,Paramètres!$A$1:$I$89,3,0)*VLOOKUP('Données projet'!$B$10,Paramètres!$A$1:$I$89,5,0)</f>
        <v>1.6759713616920635E-13</v>
      </c>
      <c r="AK198" s="14">
        <f t="shared" si="164"/>
        <v>2.3709043131075133E-12</v>
      </c>
      <c r="AL198" s="22">
        <f t="shared" si="165"/>
        <v>4.4212233574902864E-12</v>
      </c>
      <c r="AM198" s="60">
        <f t="shared" si="193"/>
        <v>293.33333333333775</v>
      </c>
      <c r="AN198" s="60">
        <f ca="1">AVERAGE(OFFSET($AM$3,0,0,'Données projet'!$E$10+1,1))-AVERAGE(OFFSET($H$3,0,0,'Données projet'!$E$10+1,1))</f>
        <v>170.79567854714986</v>
      </c>
      <c r="AO198" s="60">
        <f t="shared" si="205"/>
        <v>155.92788004111191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>
        <f>BD198*VLOOKUP('Données projet'!$B$11,Paramètres!$A$1:$I$89,3,0)*VLOOKUP('Données projet'!$B$11,Paramètres!$A$1:$I$89,5,0)</f>
        <v>-9.2222762759774927E-14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256.19915261735281</v>
      </c>
      <c r="BJ198" s="60">
        <f t="shared" si="206"/>
        <v>297.47246687305056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-5.6843418860808015E-14</v>
      </c>
      <c r="BZ198" s="14">
        <f>BY198*VLOOKUP('Données projet'!$B$12,Paramètres!$A$1:$I$89,3,0)*VLOOKUP('Données projet'!$B$12,Paramètres!$A$1:$I$89,5,0)</f>
        <v>-5.4092197387944907E-14</v>
      </c>
      <c r="CA198" s="14" t="e">
        <f t="shared" si="170"/>
        <v>#NUM!</v>
      </c>
      <c r="CB198" s="22" t="e">
        <f t="shared" si="171"/>
        <v>#NUM!</v>
      </c>
      <c r="CC198" s="60" t="e">
        <f t="shared" si="195"/>
        <v>#NUM!</v>
      </c>
      <c r="CD198" s="60">
        <f ca="1">AVERAGE(OFFSET($CC$3,0,0,'Données projet'!$E$12+1,1))-AVERAGE(OFFSET($H$3,0,0,'Données projet'!$E$12+1,1))</f>
        <v>353.53401919391234</v>
      </c>
      <c r="CE198" s="60">
        <f t="shared" si="207"/>
        <v>244.7141066773861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-9.0949470177292824E-13</v>
      </c>
      <c r="CU198" s="18">
        <f>CT198*VLOOKUP('Données projet'!$B$13,Paramètres!$A$1:$I$89,3,0)*VLOOKUP('Données projet'!$B$13,Paramètres!$A$1:$I$89,5,0)</f>
        <v>-7.6615833677351478E-13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403.33327536410098</v>
      </c>
      <c r="CZ198" s="60">
        <f t="shared" si="208"/>
        <v>218.26721063098552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3.4106051316484809E-13</v>
      </c>
      <c r="DP198" s="18">
        <f>DO198*VLOOKUP('Données projet'!$B$14,Paramètres!$A$1:$I$89,3,0)*VLOOKUP('Données projet'!$B$14,Paramètres!$A$1:$I$89,5,0)</f>
        <v>2.7134774427395314E-13</v>
      </c>
      <c r="DQ198" s="14">
        <f t="shared" si="176"/>
        <v>3.6292411711343559E-12</v>
      </c>
      <c r="DR198" s="22">
        <f t="shared" si="177"/>
        <v>6.7935256943361388E-12</v>
      </c>
      <c r="DS198" s="60">
        <f t="shared" si="197"/>
        <v>293.33333333334014</v>
      </c>
      <c r="DT198" s="60">
        <f ca="1">AVERAGE(OFFSET($DS$3,0,0,'Données projet'!$E$14+1,1))-AVERAGE(OFFSET($H$3,0,0,'Données projet'!$E$14+1,1))</f>
        <v>317.13087551964747</v>
      </c>
      <c r="DU198" s="60">
        <f t="shared" si="209"/>
        <v>293.43300041793185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1.7053025658242404E-13</v>
      </c>
      <c r="EK198" s="18">
        <f>EJ198*VLOOKUP('Données projet'!$B$15,Paramètres!$A$1:$I$89,3,0)*VLOOKUP('Données projet'!$B$15,Paramètres!$A$1:$I$89,5,0)</f>
        <v>1.3567387213697657E-13</v>
      </c>
      <c r="EL198" s="14">
        <f t="shared" si="179"/>
        <v>1.9670967679808581E-12</v>
      </c>
      <c r="EM198" s="22">
        <f t="shared" si="180"/>
        <v>3.6623255315385623E-12</v>
      </c>
      <c r="EN198" s="60">
        <f t="shared" si="198"/>
        <v>293.33333333333695</v>
      </c>
      <c r="EO198" s="60">
        <f ca="1">AVERAGE(OFFSET($EN$3,0,0,'Données projet'!$E$15+1,1))-AVERAGE(OFFSET($H$3,0,0,'Données projet'!$E$15+1,1))</f>
        <v>253.03289960511904</v>
      </c>
      <c r="EP198" s="60">
        <f t="shared" si="210"/>
        <v>236.85088713056018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1.7053025658242404E-13</v>
      </c>
      <c r="FF198" s="18">
        <f>FE198*VLOOKUP('Données projet'!$B$16,Paramètres!$A$1:$I$89,3,0)*VLOOKUP('Données projet'!$B$16,Paramètres!$A$1:$I$89,5,0)</f>
        <v>1.4897523215040567E-13</v>
      </c>
      <c r="FG198" s="14">
        <f t="shared" si="182"/>
        <v>2.136562777003313E-12</v>
      </c>
      <c r="FH198" s="22">
        <f t="shared" si="183"/>
        <v>3.9806453659427267E-12</v>
      </c>
      <c r="FI198" s="60">
        <f t="shared" si="199"/>
        <v>293.33333333333729</v>
      </c>
      <c r="FJ198" s="60">
        <f ca="1">AVERAGE(OFFSET($FI$3,0,0,'Données projet'!$E$16+1,1))-AVERAGE(OFFSET($H$3,0,0,'Données projet'!$E$16+1,1))</f>
        <v>274.38315511766132</v>
      </c>
      <c r="FK198" s="60">
        <f t="shared" si="211"/>
        <v>255.96663040027175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-1.1368683772161603E-13</v>
      </c>
      <c r="GA198" s="18">
        <f>FZ198*VLOOKUP('Données projet'!$B$17,Paramètres!$A$1:$I$89,3,0)*VLOOKUP('Données projet'!$B$17,Paramètres!$A$1:$I$89,5,0)</f>
        <v>-9.7543306765146564E-14</v>
      </c>
      <c r="GB198" s="14" t="e">
        <f t="shared" si="185"/>
        <v>#NUM!</v>
      </c>
      <c r="GC198" s="22" t="e">
        <f t="shared" si="186"/>
        <v>#NUM!</v>
      </c>
      <c r="GD198" s="60" t="e">
        <f t="shared" si="200"/>
        <v>#NUM!</v>
      </c>
      <c r="GE198" s="60">
        <f ca="1">AVERAGE(OFFSET($GD$3,0,0,'Données projet'!$E$17+1,1))-AVERAGE(OFFSET($H$3,0,0,'Données projet'!$E$17+1,1))</f>
        <v>445.81166342116865</v>
      </c>
      <c r="GF198" s="60">
        <f t="shared" si="212"/>
        <v>230.82970731138215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5.6843418860808015E-14</v>
      </c>
      <c r="GV198" s="18">
        <f>GU198*VLOOKUP('Données projet'!$B$18,Paramètres!$A$1:$I$89,3,0)*VLOOKUP('Données projet'!$B$18,Paramètres!$A$1:$I$89,5,0)</f>
        <v>4.4337866711430253E-14</v>
      </c>
      <c r="GW198" s="14">
        <f t="shared" si="188"/>
        <v>7.3222115536967035E-13</v>
      </c>
      <c r="GX198" s="22">
        <f t="shared" si="189"/>
        <v>1.3525069634579169E-12</v>
      </c>
      <c r="GY198" s="60">
        <f t="shared" si="201"/>
        <v>293.33333333333468</v>
      </c>
      <c r="GZ198" s="60">
        <f ca="1">AVERAGE(OFFSET($GY$3,0,0,'Données projet'!$E$18+1,1))-AVERAGE(OFFSET($H$3,0,0,'Données projet'!$E$18+1,1))</f>
        <v>289.19475369871481</v>
      </c>
      <c r="HA198" s="60">
        <f t="shared" si="213"/>
        <v>283.48738729114024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projet'!$B$18,Paramètres!$A$1:$I$89,3,0)*0.475*44/12</f>
        <v>0</v>
      </c>
      <c r="HH198" s="23">
        <f>EXP(-LN(2)/25)*HH197+(1-EXP(-LN(2)/25))/(LN(2)/25)*Calculateur!HC198*Calculateur!HE198*VLOOKUP('Données projet'!$B$18,Paramètres!$A$1:$I$89,3,0)*0.475*44/12</f>
        <v>0</v>
      </c>
      <c r="HI198" s="23">
        <f>EXP(-LN(2)/2)*HI197+(1-EXP(-LN(2)/2))/(LN(2)/2)*HC198*HF198*VLOOKUP('Données projet'!$B$18,Paramètres!$A$1:$I$89,3,0)*0.475*44/12</f>
        <v>0</v>
      </c>
      <c r="HJ198" s="24">
        <f t="shared" si="190"/>
        <v>0</v>
      </c>
    </row>
    <row r="199" spans="1:218" x14ac:dyDescent="0.3">
      <c r="A199" s="11">
        <f t="shared" si="161"/>
        <v>196</v>
      </c>
      <c r="B199" s="75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8">
        <f t="shared" si="192"/>
        <v>256.66666666666669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-9.0949470177292824E-13</v>
      </c>
      <c r="O199" s="14">
        <f>N199*VLOOKUP('Données projet'!$B$9,Paramètres!$A$1:$I$89,3,0)*VLOOKUP('Données projet'!$B$9,Paramètres!$A$1:$I$89,5,0)</f>
        <v>-8.7966327555477625E-13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456.86147223520601</v>
      </c>
      <c r="T199" s="60">
        <f t="shared" si="204"/>
        <v>244.45149244446094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2.5579538487363607E-13</v>
      </c>
      <c r="AJ199" s="14">
        <f>AI199*VLOOKUP('Données projet'!$B$10,Paramètres!$A$1:$I$89,3,0)*VLOOKUP('Données projet'!$B$10,Paramètres!$A$1:$I$89,5,0)</f>
        <v>1.6759713616920635E-13</v>
      </c>
      <c r="AK199" s="14">
        <f t="shared" si="164"/>
        <v>2.3709043131075133E-12</v>
      </c>
      <c r="AL199" s="22">
        <f t="shared" si="165"/>
        <v>4.4212233574902864E-12</v>
      </c>
      <c r="AM199" s="60">
        <f t="shared" si="193"/>
        <v>293.33333333333775</v>
      </c>
      <c r="AN199" s="60">
        <f ca="1">AVERAGE(OFFSET($AM$3,0,0,'Données projet'!$E$10+1,1))-AVERAGE(OFFSET($H$3,0,0,'Données projet'!$E$10+1,1))</f>
        <v>170.79567854714986</v>
      </c>
      <c r="AO199" s="60">
        <f t="shared" si="205"/>
        <v>155.92788004111191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>
        <f>BD199*VLOOKUP('Données projet'!$B$11,Paramètres!$A$1:$I$89,3,0)*VLOOKUP('Données projet'!$B$11,Paramètres!$A$1:$I$89,5,0)</f>
        <v>-9.2222762759774927E-14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256.19915261735281</v>
      </c>
      <c r="BJ199" s="60">
        <f t="shared" si="206"/>
        <v>297.47246687305056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-5.6843418860808015E-14</v>
      </c>
      <c r="BZ199" s="14">
        <f>BY199*VLOOKUP('Données projet'!$B$12,Paramètres!$A$1:$I$89,3,0)*VLOOKUP('Données projet'!$B$12,Paramètres!$A$1:$I$89,5,0)</f>
        <v>-5.4092197387944907E-14</v>
      </c>
      <c r="CA199" s="14" t="e">
        <f t="shared" si="170"/>
        <v>#NUM!</v>
      </c>
      <c r="CB199" s="22" t="e">
        <f t="shared" si="171"/>
        <v>#NUM!</v>
      </c>
      <c r="CC199" s="60" t="e">
        <f t="shared" si="195"/>
        <v>#NUM!</v>
      </c>
      <c r="CD199" s="60">
        <f ca="1">AVERAGE(OFFSET($CC$3,0,0,'Données projet'!$E$12+1,1))-AVERAGE(OFFSET($H$3,0,0,'Données projet'!$E$12+1,1))</f>
        <v>353.53401919391234</v>
      </c>
      <c r="CE199" s="60">
        <f t="shared" si="207"/>
        <v>244.7141066773861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-9.0949470177292824E-13</v>
      </c>
      <c r="CU199" s="18">
        <f>CT199*VLOOKUP('Données projet'!$B$13,Paramètres!$A$1:$I$89,3,0)*VLOOKUP('Données projet'!$B$13,Paramètres!$A$1:$I$89,5,0)</f>
        <v>-7.6615833677351478E-13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403.33327536410098</v>
      </c>
      <c r="CZ199" s="60">
        <f t="shared" si="208"/>
        <v>218.26721063098552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3.4106051316484809E-13</v>
      </c>
      <c r="DP199" s="18">
        <f>DO199*VLOOKUP('Données projet'!$B$14,Paramètres!$A$1:$I$89,3,0)*VLOOKUP('Données projet'!$B$14,Paramètres!$A$1:$I$89,5,0)</f>
        <v>2.7134774427395314E-13</v>
      </c>
      <c r="DQ199" s="14">
        <f t="shared" si="176"/>
        <v>3.6292411711343559E-12</v>
      </c>
      <c r="DR199" s="22">
        <f t="shared" si="177"/>
        <v>6.7935256943361388E-12</v>
      </c>
      <c r="DS199" s="60">
        <f t="shared" si="197"/>
        <v>293.33333333334014</v>
      </c>
      <c r="DT199" s="60">
        <f ca="1">AVERAGE(OFFSET($DS$3,0,0,'Données projet'!$E$14+1,1))-AVERAGE(OFFSET($H$3,0,0,'Données projet'!$E$14+1,1))</f>
        <v>317.13087551964747</v>
      </c>
      <c r="DU199" s="60">
        <f t="shared" si="209"/>
        <v>293.43300041793185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1.7053025658242404E-13</v>
      </c>
      <c r="EK199" s="18">
        <f>EJ199*VLOOKUP('Données projet'!$B$15,Paramètres!$A$1:$I$89,3,0)*VLOOKUP('Données projet'!$B$15,Paramètres!$A$1:$I$89,5,0)</f>
        <v>1.3567387213697657E-13</v>
      </c>
      <c r="EL199" s="14">
        <f t="shared" si="179"/>
        <v>1.9670967679808581E-12</v>
      </c>
      <c r="EM199" s="22">
        <f t="shared" si="180"/>
        <v>3.6623255315385623E-12</v>
      </c>
      <c r="EN199" s="60">
        <f t="shared" si="198"/>
        <v>293.33333333333695</v>
      </c>
      <c r="EO199" s="60">
        <f ca="1">AVERAGE(OFFSET($EN$3,0,0,'Données projet'!$E$15+1,1))-AVERAGE(OFFSET($H$3,0,0,'Données projet'!$E$15+1,1))</f>
        <v>253.03289960511904</v>
      </c>
      <c r="EP199" s="60">
        <f t="shared" si="210"/>
        <v>236.85088713056018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1.7053025658242404E-13</v>
      </c>
      <c r="FF199" s="18">
        <f>FE199*VLOOKUP('Données projet'!$B$16,Paramètres!$A$1:$I$89,3,0)*VLOOKUP('Données projet'!$B$16,Paramètres!$A$1:$I$89,5,0)</f>
        <v>1.4897523215040567E-13</v>
      </c>
      <c r="FG199" s="14">
        <f t="shared" si="182"/>
        <v>2.136562777003313E-12</v>
      </c>
      <c r="FH199" s="22">
        <f t="shared" si="183"/>
        <v>3.9806453659427267E-12</v>
      </c>
      <c r="FI199" s="60">
        <f t="shared" si="199"/>
        <v>293.33333333333729</v>
      </c>
      <c r="FJ199" s="60">
        <f ca="1">AVERAGE(OFFSET($FI$3,0,0,'Données projet'!$E$16+1,1))-AVERAGE(OFFSET($H$3,0,0,'Données projet'!$E$16+1,1))</f>
        <v>274.38315511766132</v>
      </c>
      <c r="FK199" s="60">
        <f t="shared" si="211"/>
        <v>255.96663040027175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-1.1368683772161603E-13</v>
      </c>
      <c r="GA199" s="18">
        <f>FZ199*VLOOKUP('Données projet'!$B$17,Paramètres!$A$1:$I$89,3,0)*VLOOKUP('Données projet'!$B$17,Paramètres!$A$1:$I$89,5,0)</f>
        <v>-9.7543306765146564E-14</v>
      </c>
      <c r="GB199" s="14" t="e">
        <f t="shared" si="185"/>
        <v>#NUM!</v>
      </c>
      <c r="GC199" s="22" t="e">
        <f t="shared" si="186"/>
        <v>#NUM!</v>
      </c>
      <c r="GD199" s="60" t="e">
        <f t="shared" si="200"/>
        <v>#NUM!</v>
      </c>
      <c r="GE199" s="60">
        <f ca="1">AVERAGE(OFFSET($GD$3,0,0,'Données projet'!$E$17+1,1))-AVERAGE(OFFSET($H$3,0,0,'Données projet'!$E$17+1,1))</f>
        <v>445.81166342116865</v>
      </c>
      <c r="GF199" s="60">
        <f t="shared" si="212"/>
        <v>230.82970731138215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5.6843418860808015E-14</v>
      </c>
      <c r="GV199" s="18">
        <f>GU199*VLOOKUP('Données projet'!$B$18,Paramètres!$A$1:$I$89,3,0)*VLOOKUP('Données projet'!$B$18,Paramètres!$A$1:$I$89,5,0)</f>
        <v>4.4337866711430253E-14</v>
      </c>
      <c r="GW199" s="14">
        <f t="shared" si="188"/>
        <v>7.3222115536967035E-13</v>
      </c>
      <c r="GX199" s="22">
        <f t="shared" si="189"/>
        <v>1.3525069634579169E-12</v>
      </c>
      <c r="GY199" s="60">
        <f t="shared" si="201"/>
        <v>293.33333333333468</v>
      </c>
      <c r="GZ199" s="60">
        <f ca="1">AVERAGE(OFFSET($GY$3,0,0,'Données projet'!$E$18+1,1))-AVERAGE(OFFSET($H$3,0,0,'Données projet'!$E$18+1,1))</f>
        <v>289.19475369871481</v>
      </c>
      <c r="HA199" s="60">
        <f t="shared" si="213"/>
        <v>283.48738729114024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projet'!$B$18,Paramètres!$A$1:$I$89,3,0)*0.475*44/12</f>
        <v>0</v>
      </c>
      <c r="HH199" s="23">
        <f>EXP(-LN(2)/25)*HH198+(1-EXP(-LN(2)/25))/(LN(2)/25)*Calculateur!HC199*Calculateur!HE199*VLOOKUP('Données projet'!$B$18,Paramètres!$A$1:$I$89,3,0)*0.475*44/12</f>
        <v>0</v>
      </c>
      <c r="HI199" s="23">
        <f>EXP(-LN(2)/2)*HI198+(1-EXP(-LN(2)/2))/(LN(2)/2)*HC199*HF199*VLOOKUP('Données projet'!$B$18,Paramètres!$A$1:$I$89,3,0)*0.475*44/12</f>
        <v>0</v>
      </c>
      <c r="HJ199" s="24">
        <f t="shared" si="190"/>
        <v>0</v>
      </c>
    </row>
    <row r="200" spans="1:218" x14ac:dyDescent="0.3">
      <c r="A200" s="11">
        <f t="shared" si="161"/>
        <v>197</v>
      </c>
      <c r="B200" s="75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8">
        <f t="shared" si="192"/>
        <v>256.66666666666669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-9.0949470177292824E-13</v>
      </c>
      <c r="O200" s="14">
        <f>N200*VLOOKUP('Données projet'!$B$9,Paramètres!$A$1:$I$89,3,0)*VLOOKUP('Données projet'!$B$9,Paramètres!$A$1:$I$89,5,0)</f>
        <v>-8.7966327555477625E-13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456.86147223520601</v>
      </c>
      <c r="T200" s="60">
        <f t="shared" si="204"/>
        <v>244.45149244446094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2.5579538487363607E-13</v>
      </c>
      <c r="AJ200" s="14">
        <f>AI200*VLOOKUP('Données projet'!$B$10,Paramètres!$A$1:$I$89,3,0)*VLOOKUP('Données projet'!$B$10,Paramètres!$A$1:$I$89,5,0)</f>
        <v>1.6759713616920635E-13</v>
      </c>
      <c r="AK200" s="14">
        <f t="shared" si="164"/>
        <v>2.3709043131075133E-12</v>
      </c>
      <c r="AL200" s="22">
        <f t="shared" si="165"/>
        <v>4.4212233574902864E-12</v>
      </c>
      <c r="AM200" s="60">
        <f t="shared" si="193"/>
        <v>293.33333333333775</v>
      </c>
      <c r="AN200" s="60">
        <f ca="1">AVERAGE(OFFSET($AM$3,0,0,'Données projet'!$E$10+1,1))-AVERAGE(OFFSET($H$3,0,0,'Données projet'!$E$10+1,1))</f>
        <v>170.79567854714986</v>
      </c>
      <c r="AO200" s="60">
        <f t="shared" si="205"/>
        <v>155.92788004111191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>
        <f>BD200*VLOOKUP('Données projet'!$B$11,Paramètres!$A$1:$I$89,3,0)*VLOOKUP('Données projet'!$B$11,Paramètres!$A$1:$I$89,5,0)</f>
        <v>-9.2222762759774927E-14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256.19915261735281</v>
      </c>
      <c r="BJ200" s="60">
        <f t="shared" si="206"/>
        <v>297.47246687305056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-5.6843418860808015E-14</v>
      </c>
      <c r="BZ200" s="14">
        <f>BY200*VLOOKUP('Données projet'!$B$12,Paramètres!$A$1:$I$89,3,0)*VLOOKUP('Données projet'!$B$12,Paramètres!$A$1:$I$89,5,0)</f>
        <v>-5.4092197387944907E-14</v>
      </c>
      <c r="CA200" s="14" t="e">
        <f t="shared" si="170"/>
        <v>#NUM!</v>
      </c>
      <c r="CB200" s="22" t="e">
        <f t="shared" si="171"/>
        <v>#NUM!</v>
      </c>
      <c r="CC200" s="60" t="e">
        <f t="shared" si="195"/>
        <v>#NUM!</v>
      </c>
      <c r="CD200" s="60">
        <f ca="1">AVERAGE(OFFSET($CC$3,0,0,'Données projet'!$E$12+1,1))-AVERAGE(OFFSET($H$3,0,0,'Données projet'!$E$12+1,1))</f>
        <v>353.53401919391234</v>
      </c>
      <c r="CE200" s="60">
        <f t="shared" si="207"/>
        <v>244.7141066773861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-9.0949470177292824E-13</v>
      </c>
      <c r="CU200" s="18">
        <f>CT200*VLOOKUP('Données projet'!$B$13,Paramètres!$A$1:$I$89,3,0)*VLOOKUP('Données projet'!$B$13,Paramètres!$A$1:$I$89,5,0)</f>
        <v>-7.6615833677351478E-13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403.33327536410098</v>
      </c>
      <c r="CZ200" s="60">
        <f t="shared" si="208"/>
        <v>218.26721063098552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3.4106051316484809E-13</v>
      </c>
      <c r="DP200" s="18">
        <f>DO200*VLOOKUP('Données projet'!$B$14,Paramètres!$A$1:$I$89,3,0)*VLOOKUP('Données projet'!$B$14,Paramètres!$A$1:$I$89,5,0)</f>
        <v>2.7134774427395314E-13</v>
      </c>
      <c r="DQ200" s="14">
        <f t="shared" si="176"/>
        <v>3.6292411711343559E-12</v>
      </c>
      <c r="DR200" s="22">
        <f t="shared" si="177"/>
        <v>6.7935256943361388E-12</v>
      </c>
      <c r="DS200" s="60">
        <f t="shared" si="197"/>
        <v>293.33333333334014</v>
      </c>
      <c r="DT200" s="60">
        <f ca="1">AVERAGE(OFFSET($DS$3,0,0,'Données projet'!$E$14+1,1))-AVERAGE(OFFSET($H$3,0,0,'Données projet'!$E$14+1,1))</f>
        <v>317.13087551964747</v>
      </c>
      <c r="DU200" s="60">
        <f t="shared" si="209"/>
        <v>293.43300041793185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1.7053025658242404E-13</v>
      </c>
      <c r="EK200" s="18">
        <f>EJ200*VLOOKUP('Données projet'!$B$15,Paramètres!$A$1:$I$89,3,0)*VLOOKUP('Données projet'!$B$15,Paramètres!$A$1:$I$89,5,0)</f>
        <v>1.3567387213697657E-13</v>
      </c>
      <c r="EL200" s="14">
        <f t="shared" si="179"/>
        <v>1.9670967679808581E-12</v>
      </c>
      <c r="EM200" s="22">
        <f t="shared" si="180"/>
        <v>3.6623255315385623E-12</v>
      </c>
      <c r="EN200" s="60">
        <f t="shared" si="198"/>
        <v>293.33333333333695</v>
      </c>
      <c r="EO200" s="60">
        <f ca="1">AVERAGE(OFFSET($EN$3,0,0,'Données projet'!$E$15+1,1))-AVERAGE(OFFSET($H$3,0,0,'Données projet'!$E$15+1,1))</f>
        <v>253.03289960511904</v>
      </c>
      <c r="EP200" s="60">
        <f t="shared" si="210"/>
        <v>236.85088713056018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1.7053025658242404E-13</v>
      </c>
      <c r="FF200" s="18">
        <f>FE200*VLOOKUP('Données projet'!$B$16,Paramètres!$A$1:$I$89,3,0)*VLOOKUP('Données projet'!$B$16,Paramètres!$A$1:$I$89,5,0)</f>
        <v>1.4897523215040567E-13</v>
      </c>
      <c r="FG200" s="14">
        <f t="shared" si="182"/>
        <v>2.136562777003313E-12</v>
      </c>
      <c r="FH200" s="22">
        <f t="shared" si="183"/>
        <v>3.9806453659427267E-12</v>
      </c>
      <c r="FI200" s="60">
        <f t="shared" si="199"/>
        <v>293.33333333333729</v>
      </c>
      <c r="FJ200" s="60">
        <f ca="1">AVERAGE(OFFSET($FI$3,0,0,'Données projet'!$E$16+1,1))-AVERAGE(OFFSET($H$3,0,0,'Données projet'!$E$16+1,1))</f>
        <v>274.38315511766132</v>
      </c>
      <c r="FK200" s="60">
        <f t="shared" si="211"/>
        <v>255.96663040027175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-1.1368683772161603E-13</v>
      </c>
      <c r="GA200" s="18">
        <f>FZ200*VLOOKUP('Données projet'!$B$17,Paramètres!$A$1:$I$89,3,0)*VLOOKUP('Données projet'!$B$17,Paramètres!$A$1:$I$89,5,0)</f>
        <v>-9.7543306765146564E-14</v>
      </c>
      <c r="GB200" s="14" t="e">
        <f t="shared" si="185"/>
        <v>#NUM!</v>
      </c>
      <c r="GC200" s="22" t="e">
        <f t="shared" si="186"/>
        <v>#NUM!</v>
      </c>
      <c r="GD200" s="60" t="e">
        <f t="shared" si="200"/>
        <v>#NUM!</v>
      </c>
      <c r="GE200" s="60">
        <f ca="1">AVERAGE(OFFSET($GD$3,0,0,'Données projet'!$E$17+1,1))-AVERAGE(OFFSET($H$3,0,0,'Données projet'!$E$17+1,1))</f>
        <v>445.81166342116865</v>
      </c>
      <c r="GF200" s="60">
        <f t="shared" si="212"/>
        <v>230.82970731138215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5.6843418860808015E-14</v>
      </c>
      <c r="GV200" s="18">
        <f>GU200*VLOOKUP('Données projet'!$B$18,Paramètres!$A$1:$I$89,3,0)*VLOOKUP('Données projet'!$B$18,Paramètres!$A$1:$I$89,5,0)</f>
        <v>4.4337866711430253E-14</v>
      </c>
      <c r="GW200" s="14">
        <f t="shared" si="188"/>
        <v>7.3222115536967035E-13</v>
      </c>
      <c r="GX200" s="22">
        <f t="shared" si="189"/>
        <v>1.3525069634579169E-12</v>
      </c>
      <c r="GY200" s="60">
        <f t="shared" si="201"/>
        <v>293.33333333333468</v>
      </c>
      <c r="GZ200" s="60">
        <f ca="1">AVERAGE(OFFSET($GY$3,0,0,'Données projet'!$E$18+1,1))-AVERAGE(OFFSET($H$3,0,0,'Données projet'!$E$18+1,1))</f>
        <v>289.19475369871481</v>
      </c>
      <c r="HA200" s="60">
        <f t="shared" si="213"/>
        <v>283.48738729114024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projet'!$B$18,Paramètres!$A$1:$I$89,3,0)*0.475*44/12</f>
        <v>0</v>
      </c>
      <c r="HH200" s="23">
        <f>EXP(-LN(2)/25)*HH199+(1-EXP(-LN(2)/25))/(LN(2)/25)*Calculateur!HC200*Calculateur!HE200*VLOOKUP('Données projet'!$B$18,Paramètres!$A$1:$I$89,3,0)*0.475*44/12</f>
        <v>0</v>
      </c>
      <c r="HI200" s="23">
        <f>EXP(-LN(2)/2)*HI199+(1-EXP(-LN(2)/2))/(LN(2)/2)*HC200*HF200*VLOOKUP('Données projet'!$B$18,Paramètres!$A$1:$I$89,3,0)*0.475*44/12</f>
        <v>0</v>
      </c>
      <c r="HJ200" s="24">
        <f t="shared" si="190"/>
        <v>0</v>
      </c>
    </row>
    <row r="201" spans="1:218" x14ac:dyDescent="0.3">
      <c r="A201" s="11">
        <f>A200+1</f>
        <v>198</v>
      </c>
      <c r="B201" s="75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8">
        <f t="shared" si="192"/>
        <v>256.66666666666669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-9.0949470177292824E-13</v>
      </c>
      <c r="O201" s="14">
        <f>N201*VLOOKUP('Données projet'!$B$9,Paramètres!$A$1:$I$89,3,0)*VLOOKUP('Données projet'!$B$9,Paramètres!$A$1:$I$89,5,0)</f>
        <v>-8.7966327555477625E-13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456.86147223520601</v>
      </c>
      <c r="T201" s="60">
        <f t="shared" si="204"/>
        <v>244.45149244446094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2.5579538487363607E-13</v>
      </c>
      <c r="AJ201" s="14">
        <f>AI201*VLOOKUP('Données projet'!$B$10,Paramètres!$A$1:$I$89,3,0)*VLOOKUP('Données projet'!$B$10,Paramètres!$A$1:$I$89,5,0)</f>
        <v>1.6759713616920635E-13</v>
      </c>
      <c r="AK201" s="14">
        <f t="shared" si="164"/>
        <v>2.3709043131075133E-12</v>
      </c>
      <c r="AL201" s="22">
        <f t="shared" si="165"/>
        <v>4.4212233574902864E-12</v>
      </c>
      <c r="AM201" s="60">
        <f t="shared" si="193"/>
        <v>293.33333333333775</v>
      </c>
      <c r="AN201" s="60">
        <f ca="1">AVERAGE(OFFSET($AM$3,0,0,'Données projet'!$E$10+1,1))-AVERAGE(OFFSET($H$3,0,0,'Données projet'!$E$10+1,1))</f>
        <v>170.79567854714986</v>
      </c>
      <c r="AO201" s="60">
        <f t="shared" si="205"/>
        <v>155.92788004111191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>
        <f>BD201*VLOOKUP('Données projet'!$B$11,Paramètres!$A$1:$I$89,3,0)*VLOOKUP('Données projet'!$B$11,Paramètres!$A$1:$I$89,5,0)</f>
        <v>-9.2222762759774927E-14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256.19915261735281</v>
      </c>
      <c r="BJ201" s="60">
        <f t="shared" si="206"/>
        <v>297.47246687305056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-5.6843418860808015E-14</v>
      </c>
      <c r="BZ201" s="14">
        <f>BY201*VLOOKUP('Données projet'!$B$12,Paramètres!$A$1:$I$89,3,0)*VLOOKUP('Données projet'!$B$12,Paramètres!$A$1:$I$89,5,0)</f>
        <v>-5.4092197387944907E-14</v>
      </c>
      <c r="CA201" s="14" t="e">
        <f t="shared" si="170"/>
        <v>#NUM!</v>
      </c>
      <c r="CB201" s="22" t="e">
        <f t="shared" si="171"/>
        <v>#NUM!</v>
      </c>
      <c r="CC201" s="60" t="e">
        <f t="shared" si="195"/>
        <v>#NUM!</v>
      </c>
      <c r="CD201" s="60">
        <f ca="1">AVERAGE(OFFSET($CC$3,0,0,'Données projet'!$E$12+1,1))-AVERAGE(OFFSET($H$3,0,0,'Données projet'!$E$12+1,1))</f>
        <v>353.53401919391234</v>
      </c>
      <c r="CE201" s="60">
        <f t="shared" si="207"/>
        <v>244.7141066773861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-9.0949470177292824E-13</v>
      </c>
      <c r="CU201" s="18">
        <f>CT201*VLOOKUP('Données projet'!$B$13,Paramètres!$A$1:$I$89,3,0)*VLOOKUP('Données projet'!$B$13,Paramètres!$A$1:$I$89,5,0)</f>
        <v>-7.6615833677351478E-13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403.33327536410098</v>
      </c>
      <c r="CZ201" s="60">
        <f t="shared" si="208"/>
        <v>218.26721063098552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3.4106051316484809E-13</v>
      </c>
      <c r="DP201" s="18">
        <f>DO201*VLOOKUP('Données projet'!$B$14,Paramètres!$A$1:$I$89,3,0)*VLOOKUP('Données projet'!$B$14,Paramètres!$A$1:$I$89,5,0)</f>
        <v>2.7134774427395314E-13</v>
      </c>
      <c r="DQ201" s="14">
        <f t="shared" si="176"/>
        <v>3.6292411711343559E-12</v>
      </c>
      <c r="DR201" s="22">
        <f t="shared" si="177"/>
        <v>6.7935256943361388E-12</v>
      </c>
      <c r="DS201" s="60">
        <f t="shared" si="197"/>
        <v>293.33333333334014</v>
      </c>
      <c r="DT201" s="60">
        <f ca="1">AVERAGE(OFFSET($DS$3,0,0,'Données projet'!$E$14+1,1))-AVERAGE(OFFSET($H$3,0,0,'Données projet'!$E$14+1,1))</f>
        <v>317.13087551964747</v>
      </c>
      <c r="DU201" s="60">
        <f t="shared" si="209"/>
        <v>293.43300041793185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1.7053025658242404E-13</v>
      </c>
      <c r="EK201" s="18">
        <f>EJ201*VLOOKUP('Données projet'!$B$15,Paramètres!$A$1:$I$89,3,0)*VLOOKUP('Données projet'!$B$15,Paramètres!$A$1:$I$89,5,0)</f>
        <v>1.3567387213697657E-13</v>
      </c>
      <c r="EL201" s="14">
        <f t="shared" si="179"/>
        <v>1.9670967679808581E-12</v>
      </c>
      <c r="EM201" s="22">
        <f t="shared" si="180"/>
        <v>3.6623255315385623E-12</v>
      </c>
      <c r="EN201" s="60">
        <f t="shared" si="198"/>
        <v>293.33333333333695</v>
      </c>
      <c r="EO201" s="60">
        <f ca="1">AVERAGE(OFFSET($EN$3,0,0,'Données projet'!$E$15+1,1))-AVERAGE(OFFSET($H$3,0,0,'Données projet'!$E$15+1,1))</f>
        <v>253.03289960511904</v>
      </c>
      <c r="EP201" s="60">
        <f t="shared" si="210"/>
        <v>236.85088713056018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1.7053025658242404E-13</v>
      </c>
      <c r="FF201" s="18">
        <f>FE201*VLOOKUP('Données projet'!$B$16,Paramètres!$A$1:$I$89,3,0)*VLOOKUP('Données projet'!$B$16,Paramètres!$A$1:$I$89,5,0)</f>
        <v>1.4897523215040567E-13</v>
      </c>
      <c r="FG201" s="14">
        <f t="shared" si="182"/>
        <v>2.136562777003313E-12</v>
      </c>
      <c r="FH201" s="22">
        <f t="shared" si="183"/>
        <v>3.9806453659427267E-12</v>
      </c>
      <c r="FI201" s="60">
        <f t="shared" si="199"/>
        <v>293.33333333333729</v>
      </c>
      <c r="FJ201" s="60">
        <f ca="1">AVERAGE(OFFSET($FI$3,0,0,'Données projet'!$E$16+1,1))-AVERAGE(OFFSET($H$3,0,0,'Données projet'!$E$16+1,1))</f>
        <v>274.38315511766132</v>
      </c>
      <c r="FK201" s="60">
        <f t="shared" si="211"/>
        <v>255.96663040027175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-1.1368683772161603E-13</v>
      </c>
      <c r="GA201" s="18">
        <f>FZ201*VLOOKUP('Données projet'!$B$17,Paramètres!$A$1:$I$89,3,0)*VLOOKUP('Données projet'!$B$17,Paramètres!$A$1:$I$89,5,0)</f>
        <v>-9.7543306765146564E-14</v>
      </c>
      <c r="GB201" s="14" t="e">
        <f t="shared" si="185"/>
        <v>#NUM!</v>
      </c>
      <c r="GC201" s="22" t="e">
        <f t="shared" si="186"/>
        <v>#NUM!</v>
      </c>
      <c r="GD201" s="60" t="e">
        <f t="shared" si="200"/>
        <v>#NUM!</v>
      </c>
      <c r="GE201" s="60">
        <f ca="1">AVERAGE(OFFSET($GD$3,0,0,'Données projet'!$E$17+1,1))-AVERAGE(OFFSET($H$3,0,0,'Données projet'!$E$17+1,1))</f>
        <v>445.81166342116865</v>
      </c>
      <c r="GF201" s="60">
        <f t="shared" si="212"/>
        <v>230.82970731138215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5.6843418860808015E-14</v>
      </c>
      <c r="GV201" s="18">
        <f>GU201*VLOOKUP('Données projet'!$B$18,Paramètres!$A$1:$I$89,3,0)*VLOOKUP('Données projet'!$B$18,Paramètres!$A$1:$I$89,5,0)</f>
        <v>4.4337866711430253E-14</v>
      </c>
      <c r="GW201" s="14">
        <f t="shared" si="188"/>
        <v>7.3222115536967035E-13</v>
      </c>
      <c r="GX201" s="22">
        <f t="shared" si="189"/>
        <v>1.3525069634579169E-12</v>
      </c>
      <c r="GY201" s="60">
        <f t="shared" si="201"/>
        <v>293.33333333333468</v>
      </c>
      <c r="GZ201" s="60">
        <f ca="1">AVERAGE(OFFSET($GY$3,0,0,'Données projet'!$E$18+1,1))-AVERAGE(OFFSET($H$3,0,0,'Données projet'!$E$18+1,1))</f>
        <v>289.19475369871481</v>
      </c>
      <c r="HA201" s="60">
        <f t="shared" si="213"/>
        <v>283.48738729114024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projet'!$B$18,Paramètres!$A$1:$I$89,3,0)*0.475*44/12</f>
        <v>0</v>
      </c>
      <c r="HH201" s="23">
        <f>EXP(-LN(2)/25)*HH200+(1-EXP(-LN(2)/25))/(LN(2)/25)*Calculateur!HC201*Calculateur!HE201*VLOOKUP('Données projet'!$B$18,Paramètres!$A$1:$I$89,3,0)*0.475*44/12</f>
        <v>0</v>
      </c>
      <c r="HI201" s="23">
        <f>EXP(-LN(2)/2)*HI200+(1-EXP(-LN(2)/2))/(LN(2)/2)*HC201*HF201*VLOOKUP('Données projet'!$B$18,Paramètres!$A$1:$I$89,3,0)*0.475*44/12</f>
        <v>0</v>
      </c>
      <c r="HJ201" s="24">
        <f t="shared" si="190"/>
        <v>0</v>
      </c>
    </row>
    <row r="202" spans="1:218" x14ac:dyDescent="0.3">
      <c r="A202" s="11">
        <f t="shared" si="161"/>
        <v>199</v>
      </c>
      <c r="B202" s="75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8">
        <f t="shared" si="192"/>
        <v>256.66666666666669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-9.0949470177292824E-13</v>
      </c>
      <c r="O202" s="14">
        <f>N202*VLOOKUP('Données projet'!$B$9,Paramètres!$A$1:$I$89,3,0)*VLOOKUP('Données projet'!$B$9,Paramètres!$A$1:$I$89,5,0)</f>
        <v>-8.7966327555477625E-13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456.86147223520601</v>
      </c>
      <c r="T202" s="60">
        <f t="shared" si="204"/>
        <v>244.45149244446094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2.5579538487363607E-13</v>
      </c>
      <c r="AJ202" s="14">
        <f>AI202*VLOOKUP('Données projet'!$B$10,Paramètres!$A$1:$I$89,3,0)*VLOOKUP('Données projet'!$B$10,Paramètres!$A$1:$I$89,5,0)</f>
        <v>1.6759713616920635E-13</v>
      </c>
      <c r="AK202" s="14">
        <f t="shared" si="164"/>
        <v>2.3709043131075133E-12</v>
      </c>
      <c r="AL202" s="22">
        <f t="shared" si="165"/>
        <v>4.4212233574902864E-12</v>
      </c>
      <c r="AM202" s="60">
        <f t="shared" si="193"/>
        <v>293.33333333333775</v>
      </c>
      <c r="AN202" s="60">
        <f ca="1">AVERAGE(OFFSET($AM$3,0,0,'Données projet'!$E$10+1,1))-AVERAGE(OFFSET($H$3,0,0,'Données projet'!$E$10+1,1))</f>
        <v>170.79567854714986</v>
      </c>
      <c r="AO202" s="60">
        <f t="shared" si="205"/>
        <v>155.92788004111191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>
        <f>BD202*VLOOKUP('Données projet'!$B$11,Paramètres!$A$1:$I$89,3,0)*VLOOKUP('Données projet'!$B$11,Paramètres!$A$1:$I$89,5,0)</f>
        <v>-9.2222762759774927E-14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256.19915261735281</v>
      </c>
      <c r="BJ202" s="60">
        <f t="shared" si="206"/>
        <v>297.47246687305056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-5.6843418860808015E-14</v>
      </c>
      <c r="BZ202" s="14">
        <f>BY202*VLOOKUP('Données projet'!$B$12,Paramètres!$A$1:$I$89,3,0)*VLOOKUP('Données projet'!$B$12,Paramètres!$A$1:$I$89,5,0)</f>
        <v>-5.4092197387944907E-14</v>
      </c>
      <c r="CA202" s="14" t="e">
        <f t="shared" si="170"/>
        <v>#NUM!</v>
      </c>
      <c r="CB202" s="22" t="e">
        <f t="shared" si="171"/>
        <v>#NUM!</v>
      </c>
      <c r="CC202" s="60" t="e">
        <f t="shared" si="195"/>
        <v>#NUM!</v>
      </c>
      <c r="CD202" s="60">
        <f ca="1">AVERAGE(OFFSET($CC$3,0,0,'Données projet'!$E$12+1,1))-AVERAGE(OFFSET($H$3,0,0,'Données projet'!$E$12+1,1))</f>
        <v>353.53401919391234</v>
      </c>
      <c r="CE202" s="60">
        <f t="shared" si="207"/>
        <v>244.7141066773861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-9.0949470177292824E-13</v>
      </c>
      <c r="CU202" s="18">
        <f>CT202*VLOOKUP('Données projet'!$B$13,Paramètres!$A$1:$I$89,3,0)*VLOOKUP('Données projet'!$B$13,Paramètres!$A$1:$I$89,5,0)</f>
        <v>-7.6615833677351478E-13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403.33327536410098</v>
      </c>
      <c r="CZ202" s="60">
        <f t="shared" si="208"/>
        <v>218.26721063098552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3.4106051316484809E-13</v>
      </c>
      <c r="DP202" s="18">
        <f>DO202*VLOOKUP('Données projet'!$B$14,Paramètres!$A$1:$I$89,3,0)*VLOOKUP('Données projet'!$B$14,Paramètres!$A$1:$I$89,5,0)</f>
        <v>2.7134774427395314E-13</v>
      </c>
      <c r="DQ202" s="14">
        <f t="shared" si="176"/>
        <v>3.6292411711343559E-12</v>
      </c>
      <c r="DR202" s="22">
        <f t="shared" si="177"/>
        <v>6.7935256943361388E-12</v>
      </c>
      <c r="DS202" s="60">
        <f t="shared" si="197"/>
        <v>293.33333333334014</v>
      </c>
      <c r="DT202" s="60">
        <f ca="1">AVERAGE(OFFSET($DS$3,0,0,'Données projet'!$E$14+1,1))-AVERAGE(OFFSET($H$3,0,0,'Données projet'!$E$14+1,1))</f>
        <v>317.13087551964747</v>
      </c>
      <c r="DU202" s="60">
        <f t="shared" si="209"/>
        <v>293.43300041793185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1.7053025658242404E-13</v>
      </c>
      <c r="EK202" s="18">
        <f>EJ202*VLOOKUP('Données projet'!$B$15,Paramètres!$A$1:$I$89,3,0)*VLOOKUP('Données projet'!$B$15,Paramètres!$A$1:$I$89,5,0)</f>
        <v>1.3567387213697657E-13</v>
      </c>
      <c r="EL202" s="14">
        <f t="shared" si="179"/>
        <v>1.9670967679808581E-12</v>
      </c>
      <c r="EM202" s="22">
        <f t="shared" si="180"/>
        <v>3.6623255315385623E-12</v>
      </c>
      <c r="EN202" s="60">
        <f t="shared" si="198"/>
        <v>293.33333333333695</v>
      </c>
      <c r="EO202" s="60">
        <f ca="1">AVERAGE(OFFSET($EN$3,0,0,'Données projet'!$E$15+1,1))-AVERAGE(OFFSET($H$3,0,0,'Données projet'!$E$15+1,1))</f>
        <v>253.03289960511904</v>
      </c>
      <c r="EP202" s="60">
        <f t="shared" si="210"/>
        <v>236.85088713056018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1.7053025658242404E-13</v>
      </c>
      <c r="FF202" s="18">
        <f>FE202*VLOOKUP('Données projet'!$B$16,Paramètres!$A$1:$I$89,3,0)*VLOOKUP('Données projet'!$B$16,Paramètres!$A$1:$I$89,5,0)</f>
        <v>1.4897523215040567E-13</v>
      </c>
      <c r="FG202" s="14">
        <f t="shared" si="182"/>
        <v>2.136562777003313E-12</v>
      </c>
      <c r="FH202" s="22">
        <f t="shared" si="183"/>
        <v>3.9806453659427267E-12</v>
      </c>
      <c r="FI202" s="60">
        <f t="shared" si="199"/>
        <v>293.33333333333729</v>
      </c>
      <c r="FJ202" s="60">
        <f ca="1">AVERAGE(OFFSET($FI$3,0,0,'Données projet'!$E$16+1,1))-AVERAGE(OFFSET($H$3,0,0,'Données projet'!$E$16+1,1))</f>
        <v>274.38315511766132</v>
      </c>
      <c r="FK202" s="60">
        <f t="shared" si="211"/>
        <v>255.96663040027175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-1.1368683772161603E-13</v>
      </c>
      <c r="GA202" s="18">
        <f>FZ202*VLOOKUP('Données projet'!$B$17,Paramètres!$A$1:$I$89,3,0)*VLOOKUP('Données projet'!$B$17,Paramètres!$A$1:$I$89,5,0)</f>
        <v>-9.7543306765146564E-14</v>
      </c>
      <c r="GB202" s="14" t="e">
        <f t="shared" si="185"/>
        <v>#NUM!</v>
      </c>
      <c r="GC202" s="22" t="e">
        <f t="shared" si="186"/>
        <v>#NUM!</v>
      </c>
      <c r="GD202" s="60" t="e">
        <f t="shared" si="200"/>
        <v>#NUM!</v>
      </c>
      <c r="GE202" s="60">
        <f ca="1">AVERAGE(OFFSET($GD$3,0,0,'Données projet'!$E$17+1,1))-AVERAGE(OFFSET($H$3,0,0,'Données projet'!$E$17+1,1))</f>
        <v>445.81166342116865</v>
      </c>
      <c r="GF202" s="60">
        <f t="shared" si="212"/>
        <v>230.82970731138215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5.6843418860808015E-14</v>
      </c>
      <c r="GV202" s="18">
        <f>GU202*VLOOKUP('Données projet'!$B$18,Paramètres!$A$1:$I$89,3,0)*VLOOKUP('Données projet'!$B$18,Paramètres!$A$1:$I$89,5,0)</f>
        <v>4.4337866711430253E-14</v>
      </c>
      <c r="GW202" s="14">
        <f t="shared" si="188"/>
        <v>7.3222115536967035E-13</v>
      </c>
      <c r="GX202" s="22">
        <f t="shared" si="189"/>
        <v>1.3525069634579169E-12</v>
      </c>
      <c r="GY202" s="60">
        <f t="shared" si="201"/>
        <v>293.33333333333468</v>
      </c>
      <c r="GZ202" s="60">
        <f ca="1">AVERAGE(OFFSET($GY$3,0,0,'Données projet'!$E$18+1,1))-AVERAGE(OFFSET($H$3,0,0,'Données projet'!$E$18+1,1))</f>
        <v>289.19475369871481</v>
      </c>
      <c r="HA202" s="60">
        <f t="shared" si="213"/>
        <v>283.48738729114024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projet'!$B$18,Paramètres!$A$1:$I$89,3,0)*0.475*44/12</f>
        <v>0</v>
      </c>
      <c r="HH202" s="23">
        <f>EXP(-LN(2)/25)*HH201+(1-EXP(-LN(2)/25))/(LN(2)/25)*Calculateur!HC202*Calculateur!HE202*VLOOKUP('Données projet'!$B$18,Paramètres!$A$1:$I$89,3,0)*0.475*44/12</f>
        <v>0</v>
      </c>
      <c r="HI202" s="23">
        <f>EXP(-LN(2)/2)*HI201+(1-EXP(-LN(2)/2))/(LN(2)/2)*HC202*HF202*VLOOKUP('Données projet'!$B$18,Paramètres!$A$1:$I$89,3,0)*0.475*44/12</f>
        <v>0</v>
      </c>
      <c r="HJ202" s="24">
        <f t="shared" si="190"/>
        <v>0</v>
      </c>
    </row>
    <row r="203" spans="1:218" ht="15" thickBot="1" x14ac:dyDescent="0.35">
      <c r="A203" s="11">
        <f>A202+1</f>
        <v>200</v>
      </c>
      <c r="B203" s="75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8">
        <f t="shared" si="192"/>
        <v>256.66666666666669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-9.0949470177292824E-13</v>
      </c>
      <c r="O203" s="14">
        <f>N203*VLOOKUP('Données projet'!$B$9,Paramètres!$A$1:$I$89,3,0)*VLOOKUP('Données projet'!$B$9,Paramètres!$A$1:$I$89,5,0)</f>
        <v>-8.7966327555477625E-13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456.86147223520601</v>
      </c>
      <c r="T203" s="60">
        <f t="shared" si="204"/>
        <v>244.45149244446094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2.5579538487363607E-13</v>
      </c>
      <c r="AJ203" s="14">
        <f>AI203*VLOOKUP('Données projet'!$B$10,Paramètres!$A$1:$I$89,3,0)*VLOOKUP('Données projet'!$B$10,Paramètres!$A$1:$I$89,5,0)</f>
        <v>1.6759713616920635E-13</v>
      </c>
      <c r="AK203" s="14">
        <f t="shared" si="164"/>
        <v>2.3709043131075133E-12</v>
      </c>
      <c r="AL203" s="22">
        <f t="shared" si="165"/>
        <v>4.4212233574902864E-12</v>
      </c>
      <c r="AM203" s="60">
        <f t="shared" si="193"/>
        <v>293.33333333333775</v>
      </c>
      <c r="AN203" s="60">
        <f ca="1">AVERAGE(OFFSET($AM$3,0,0,'Données projet'!$E$10+1,1))-AVERAGE(OFFSET($H$3,0,0,'Données projet'!$E$10+1,1))</f>
        <v>170.79567854714986</v>
      </c>
      <c r="AO203" s="60">
        <f t="shared" si="205"/>
        <v>155.92788004111191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>
        <f>BD203*VLOOKUP('Données projet'!$B$11,Paramètres!$A$1:$I$89,3,0)*VLOOKUP('Données projet'!$B$11,Paramètres!$A$1:$I$89,5,0)</f>
        <v>-9.2222762759774927E-14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256.19915261735281</v>
      </c>
      <c r="BJ203" s="60">
        <f t="shared" si="206"/>
        <v>297.47246687305056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-5.6843418860808015E-14</v>
      </c>
      <c r="BZ203" s="14">
        <f>BY203*VLOOKUP('Données projet'!$B$12,Paramètres!$A$1:$I$89,3,0)*VLOOKUP('Données projet'!$B$12,Paramètres!$A$1:$I$89,5,0)</f>
        <v>-5.4092197387944907E-14</v>
      </c>
      <c r="CA203" s="14" t="e">
        <f t="shared" si="170"/>
        <v>#NUM!</v>
      </c>
      <c r="CB203" s="22" t="e">
        <f t="shared" si="171"/>
        <v>#NUM!</v>
      </c>
      <c r="CC203" s="60" t="e">
        <f t="shared" si="195"/>
        <v>#NUM!</v>
      </c>
      <c r="CD203" s="60">
        <f ca="1">AVERAGE(OFFSET($CC$3,0,0,'Données projet'!$E$12+1,1))-AVERAGE(OFFSET($H$3,0,0,'Données projet'!$E$12+1,1))</f>
        <v>353.53401919391234</v>
      </c>
      <c r="CE203" s="60">
        <f t="shared" si="207"/>
        <v>244.7141066773861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-9.0949470177292824E-13</v>
      </c>
      <c r="CU203" s="18">
        <f>CT203*VLOOKUP('Données projet'!$B$13,Paramètres!$A$1:$I$89,3,0)*VLOOKUP('Données projet'!$B$13,Paramètres!$A$1:$I$89,5,0)</f>
        <v>-7.6615833677351478E-13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403.33327536410098</v>
      </c>
      <c r="CZ203" s="60">
        <f t="shared" si="208"/>
        <v>218.26721063098552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3.4106051316484809E-13</v>
      </c>
      <c r="DP203" s="18">
        <f>DO203*VLOOKUP('Données projet'!$B$14,Paramètres!$A$1:$I$89,3,0)*VLOOKUP('Données projet'!$B$14,Paramètres!$A$1:$I$89,5,0)</f>
        <v>2.7134774427395314E-13</v>
      </c>
      <c r="DQ203" s="14">
        <f t="shared" si="176"/>
        <v>3.6292411711343559E-12</v>
      </c>
      <c r="DR203" s="22">
        <f t="shared" si="177"/>
        <v>6.7935256943361388E-12</v>
      </c>
      <c r="DS203" s="60">
        <f t="shared" si="197"/>
        <v>293.33333333334014</v>
      </c>
      <c r="DT203" s="60">
        <f ca="1">AVERAGE(OFFSET($DS$3,0,0,'Données projet'!$E$14+1,1))-AVERAGE(OFFSET($H$3,0,0,'Données projet'!$E$14+1,1))</f>
        <v>317.13087551964747</v>
      </c>
      <c r="DU203" s="60">
        <f t="shared" si="209"/>
        <v>293.43300041793185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1.7053025658242404E-13</v>
      </c>
      <c r="EK203" s="18">
        <f>EJ203*VLOOKUP('Données projet'!$B$15,Paramètres!$A$1:$I$89,3,0)*VLOOKUP('Données projet'!$B$15,Paramètres!$A$1:$I$89,5,0)</f>
        <v>1.3567387213697657E-13</v>
      </c>
      <c r="EL203" s="14">
        <f t="shared" si="179"/>
        <v>1.9670967679808581E-12</v>
      </c>
      <c r="EM203" s="22">
        <f t="shared" si="180"/>
        <v>3.6623255315385623E-12</v>
      </c>
      <c r="EN203" s="60">
        <f t="shared" si="198"/>
        <v>293.33333333333695</v>
      </c>
      <c r="EO203" s="60">
        <f ca="1">AVERAGE(OFFSET($EN$3,0,0,'Données projet'!$E$15+1,1))-AVERAGE(OFFSET($H$3,0,0,'Données projet'!$E$15+1,1))</f>
        <v>253.03289960511904</v>
      </c>
      <c r="EP203" s="60">
        <f t="shared" si="210"/>
        <v>236.85088713056018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1.7053025658242404E-13</v>
      </c>
      <c r="FF203" s="18">
        <f>FE203*VLOOKUP('Données projet'!$B$16,Paramètres!$A$1:$I$89,3,0)*VLOOKUP('Données projet'!$B$16,Paramètres!$A$1:$I$89,5,0)</f>
        <v>1.4897523215040567E-13</v>
      </c>
      <c r="FG203" s="14">
        <f t="shared" si="182"/>
        <v>2.136562777003313E-12</v>
      </c>
      <c r="FH203" s="22">
        <f t="shared" si="183"/>
        <v>3.9806453659427267E-12</v>
      </c>
      <c r="FI203" s="60">
        <f t="shared" si="199"/>
        <v>293.33333333333729</v>
      </c>
      <c r="FJ203" s="60">
        <f ca="1">AVERAGE(OFFSET($FI$3,0,0,'Données projet'!$E$16+1,1))-AVERAGE(OFFSET($H$3,0,0,'Données projet'!$E$16+1,1))</f>
        <v>274.38315511766132</v>
      </c>
      <c r="FK203" s="60">
        <f t="shared" si="211"/>
        <v>255.96663040027175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-1.1368683772161603E-13</v>
      </c>
      <c r="GA203" s="18">
        <f>FZ203*VLOOKUP('Données projet'!$B$17,Paramètres!$A$1:$I$89,3,0)*VLOOKUP('Données projet'!$B$17,Paramètres!$A$1:$I$89,5,0)</f>
        <v>-9.7543306765146564E-14</v>
      </c>
      <c r="GB203" s="14" t="e">
        <f t="shared" si="185"/>
        <v>#NUM!</v>
      </c>
      <c r="GC203" s="22" t="e">
        <f t="shared" si="186"/>
        <v>#NUM!</v>
      </c>
      <c r="GD203" s="60" t="e">
        <f t="shared" si="200"/>
        <v>#NUM!</v>
      </c>
      <c r="GE203" s="60">
        <f ca="1">AVERAGE(OFFSET($GD$3,0,0,'Données projet'!$E$17+1,1))-AVERAGE(OFFSET($H$3,0,0,'Données projet'!$E$17+1,1))</f>
        <v>445.81166342116865</v>
      </c>
      <c r="GF203" s="60">
        <f t="shared" si="212"/>
        <v>230.82970731138215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5.6843418860808015E-14</v>
      </c>
      <c r="GV203" s="18">
        <f>GU203*VLOOKUP('Données projet'!$B$18,Paramètres!$A$1:$I$89,3,0)*VLOOKUP('Données projet'!$B$18,Paramètres!$A$1:$I$89,5,0)</f>
        <v>4.4337866711430253E-14</v>
      </c>
      <c r="GW203" s="14">
        <f t="shared" si="188"/>
        <v>7.3222115536967035E-13</v>
      </c>
      <c r="GX203" s="22">
        <f t="shared" si="189"/>
        <v>1.3525069634579169E-12</v>
      </c>
      <c r="GY203" s="60">
        <f t="shared" si="201"/>
        <v>293.33333333333468</v>
      </c>
      <c r="GZ203" s="60">
        <f ca="1">AVERAGE(OFFSET($GY$3,0,0,'Données projet'!$E$18+1,1))-AVERAGE(OFFSET($H$3,0,0,'Données projet'!$E$18+1,1))</f>
        <v>289.19475369871481</v>
      </c>
      <c r="HA203" s="60">
        <f t="shared" si="213"/>
        <v>283.48738729114024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projet'!$B$18,Paramètres!$A$1:$I$89,3,0)*0.475*44/12</f>
        <v>0</v>
      </c>
      <c r="HH203" s="23">
        <f>EXP(-LN(2)/25)*HH202+(1-EXP(-LN(2)/25))/(LN(2)/25)*Calculateur!HC203*Calculateur!HE203*VLOOKUP('Données projet'!$B$18,Paramètres!$A$1:$I$89,3,0)*0.475*44/12</f>
        <v>0</v>
      </c>
      <c r="HI203" s="23">
        <f>EXP(-LN(2)/2)*HI202+(1-EXP(-LN(2)/2))/(LN(2)/2)*HC203*HF203*VLOOKUP('Données projet'!$B$18,Paramètres!$A$1:$I$89,3,0)*0.475*44/12</f>
        <v>0</v>
      </c>
      <c r="HJ203" s="24">
        <f t="shared" si="190"/>
        <v>0</v>
      </c>
    </row>
    <row r="204" spans="1:218" ht="15" thickBot="1" x14ac:dyDescent="0.35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" thickBot="1" x14ac:dyDescent="0.35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1.2054868146447177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1.1787268962565749</v>
      </c>
      <c r="BA205" s="86">
        <f>EXP(LN('Données projet'!B88)/'Données projet'!A88)</f>
        <v>1.2457309396155174</v>
      </c>
      <c r="BV205" s="86">
        <f>EXP(LN('Données projet'!B114)/'Données projet'!A114)</f>
        <v>1.2649598798623627</v>
      </c>
      <c r="CQ205" s="86">
        <f>EXP(LN('Données projet'!B140)/'Données projet'!A140)</f>
        <v>1.2054868146447177</v>
      </c>
      <c r="DL205" s="86">
        <f>EXP(LN('Données projet'!B166)/'Données projet'!A166)</f>
        <v>1.2730870686066207</v>
      </c>
      <c r="EG205" s="86">
        <f>EXP(LN('Données projet'!B192)/'Données projet'!A192)</f>
        <v>1.156891598310152</v>
      </c>
      <c r="FB205" s="86">
        <f>EXP(LN('Données projet'!B218)/'Données projet'!A218)</f>
        <v>1.156891598310152</v>
      </c>
      <c r="FW205" s="86">
        <f>EXP(LN('Données projet'!B244)/'Données projet'!A244)</f>
        <v>1.0629350704110543</v>
      </c>
      <c r="GR205" s="86">
        <f>EXP(LN('Données projet'!B270)/'Données projet'!A270)</f>
        <v>1.2788040393997409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workbookViewId="0">
      <selection activeCell="A26" sqref="A26:C28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3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5" t="s">
        <v>238</v>
      </c>
      <c r="P2" s="128">
        <v>0</v>
      </c>
    </row>
    <row r="3" spans="1:16" ht="15" thickBot="1" x14ac:dyDescent="0.35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6"/>
      <c r="P3" s="135">
        <v>0.2</v>
      </c>
    </row>
    <row r="4" spans="1:16" ht="15" thickBot="1" x14ac:dyDescent="0.35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3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5" t="s">
        <v>237</v>
      </c>
      <c r="P5" s="128">
        <v>0</v>
      </c>
    </row>
    <row r="6" spans="1:16" x14ac:dyDescent="0.3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7"/>
      <c r="P6" s="136">
        <v>0.05</v>
      </c>
    </row>
    <row r="7" spans="1:16" x14ac:dyDescent="0.3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7"/>
      <c r="P7" s="136">
        <v>0.1</v>
      </c>
    </row>
    <row r="8" spans="1:16" ht="15" thickBot="1" x14ac:dyDescent="0.35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6"/>
      <c r="P8" s="135">
        <v>0.15</v>
      </c>
    </row>
    <row r="9" spans="1:16" ht="15" thickBot="1" x14ac:dyDescent="0.35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3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5" t="s">
        <v>236</v>
      </c>
      <c r="P10" s="128">
        <v>0</v>
      </c>
    </row>
    <row r="11" spans="1:16" ht="15" thickBot="1" x14ac:dyDescent="0.35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6"/>
      <c r="P11" s="135">
        <v>0.1</v>
      </c>
    </row>
    <row r="12" spans="1:16" x14ac:dyDescent="0.3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3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3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3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3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3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3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3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3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3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3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3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3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3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3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3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3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3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3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3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3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3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3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3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3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3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3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3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3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3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3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3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3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3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3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3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3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3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3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3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3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3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3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3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3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3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3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3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3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3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3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3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3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3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3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3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3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3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3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3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3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3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3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3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3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3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3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3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3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3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3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3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3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3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3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3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3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" thickBot="1" x14ac:dyDescent="0.35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3">
      <c r="A93" s="129" t="s">
        <v>208</v>
      </c>
    </row>
    <row r="94" spans="1:14" x14ac:dyDescent="0.3">
      <c r="A94" s="129" t="s">
        <v>209</v>
      </c>
    </row>
    <row r="95" spans="1:14" x14ac:dyDescent="0.3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L16" sqref="L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3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6" t="s">
        <v>271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2" t="str">
        <f>IF('Données projet'!$B$9="","",'Données projet'!$B$9)</f>
        <v>Alisier torminal</v>
      </c>
      <c r="B6" s="153">
        <f>'Données projet'!D9</f>
        <v>0.15649199999999999</v>
      </c>
      <c r="C6" s="154">
        <f ca="1">IF(OR('Données projet'!B9="",'Données projet'!C9="",'Données projet'!C9=0%),0,Calculateur!S3)</f>
        <v>456.86147223520601</v>
      </c>
      <c r="D6" s="154">
        <f>IF(OR('Données projet'!B9="",'Données projet'!C9="",'Données projet'!C9=0%),0,Calculateur!T3)</f>
        <v>244.45149244446094</v>
      </c>
      <c r="E6" s="154">
        <f ca="1">MIN(C6,D6)</f>
        <v>244.45149244446094</v>
      </c>
      <c r="F6" s="154">
        <f ca="1">E6*B6</f>
        <v>38.254702955618576</v>
      </c>
      <c r="G6" s="154">
        <f ca="1">F6*(100%-'Données projet'!$C$24)*(100%-'Données projet'!$C$25)*(100%-'Données projet'!$C$26)*(100%-'Données projet'!$C$27)</f>
        <v>34.429232660056719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0.31298399999999998</v>
      </c>
      <c r="K6" s="158">
        <f>J6*(100%-'Données projet'!$C$24)*(100%-'Données projet'!$C$25)*(100%-'Données projet'!$C$26)*(100%-'Données projet'!$C$27)</f>
        <v>0.28168559999999998</v>
      </c>
      <c r="L6" s="159">
        <f ca="1">G6+I6+K6</f>
        <v>34.710918260056722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0" t="str">
        <f>IF('Données projet'!$B$10="","",'Données projet'!$B$10)</f>
        <v>Aulne glutineux</v>
      </c>
      <c r="B7" s="161">
        <f>'Données projet'!D10</f>
        <v>8.6940000000000003E-2</v>
      </c>
      <c r="C7" s="154">
        <f ca="1">IF(OR('Données projet'!B10="",'Données projet'!C10="",'Données projet'!C10=0%),0,Calculateur!AN3)</f>
        <v>170.79567854714986</v>
      </c>
      <c r="D7" s="154">
        <f>IF(OR('Données projet'!B10="",'Données projet'!C10="",'Données projet'!C10=0%),0,Calculateur!AO3)</f>
        <v>155.92788004111191</v>
      </c>
      <c r="E7" s="154">
        <f t="shared" ref="E7:E15" ca="1" si="0">MIN(C7,D7)</f>
        <v>155.92788004111191</v>
      </c>
      <c r="F7" s="154">
        <f t="shared" ref="F7:F15" ca="1" si="1">E7*B7</f>
        <v>13.556369890774269</v>
      </c>
      <c r="G7" s="154">
        <f ca="1">F7*(100%-'Données projet'!$C$24)*(100%-'Données projet'!$C$25)*(100%-'Données projet'!$C$26)*(100%-'Données projet'!$C$27)</f>
        <v>12.200732901696842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0</v>
      </c>
      <c r="K7" s="158">
        <f>J7*(100%-'Données projet'!$C$24)*(100%-'Données projet'!$C$25)*(100%-'Données projet'!$C$26)*(100%-'Données projet'!$C$27)</f>
        <v>0</v>
      </c>
      <c r="L7" s="159">
        <f t="shared" ref="L7:L15" ca="1" si="2">G7+I7+K7</f>
        <v>12.200732901696842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0" t="str">
        <f>IF('Données projet'!$B$11="","",'Données projet'!$B$11)</f>
        <v>Bouleau verruqueux</v>
      </c>
      <c r="B8" s="161">
        <f>'Données projet'!D11</f>
        <v>0.105133</v>
      </c>
      <c r="C8" s="154">
        <f ca="1">IF(OR('Données projet'!B11="",'Données projet'!C11="",'Données projet'!C11=0%),0,Calculateur!BI3)</f>
        <v>256.19915261735281</v>
      </c>
      <c r="D8" s="154">
        <f>IF(OR('Données projet'!B11="",'Données projet'!C11="",'Données projet'!C11=0%),0,Calculateur!BJ3)</f>
        <v>297.47246687305056</v>
      </c>
      <c r="E8" s="154">
        <f t="shared" ca="1" si="0"/>
        <v>256.19915261735281</v>
      </c>
      <c r="F8" s="154">
        <f t="shared" ca="1" si="1"/>
        <v>26.934985512120154</v>
      </c>
      <c r="G8" s="154">
        <f ca="1">F8*(100%-'Données projet'!$C$24)*(100%-'Données projet'!$C$25)*(100%-'Données projet'!$C$26)*(100%-'Données projet'!$C$27)</f>
        <v>24.241486960908137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1.0513300000000001</v>
      </c>
      <c r="K8" s="158">
        <f>J8*(100%-'Données projet'!$C$24)*(100%-'Données projet'!$C$25)*(100%-'Données projet'!$C$26)*(100%-'Données projet'!$C$27)</f>
        <v>0.94619700000000007</v>
      </c>
      <c r="L8" s="159">
        <f t="shared" ca="1" si="2"/>
        <v>25.187683960908139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0" t="str">
        <f>IF('Données projet'!$B$12="","",'Données projet'!$B$12)</f>
        <v>Charme</v>
      </c>
      <c r="B9" s="161">
        <f>'Données projet'!D12</f>
        <v>0.105133</v>
      </c>
      <c r="C9" s="154">
        <f ca="1">IF(OR('Données projet'!B12="",'Données projet'!C12="",'Données projet'!C12=0%),0,Calculateur!CD3)</f>
        <v>353.53401919391234</v>
      </c>
      <c r="D9" s="154">
        <f>IF(OR('Données projet'!B12="",'Données projet'!C12="",'Données projet'!C12=0%),0,Calculateur!CE3)</f>
        <v>244.7141066773861</v>
      </c>
      <c r="E9" s="154">
        <f t="shared" ca="1" si="0"/>
        <v>244.7141066773861</v>
      </c>
      <c r="F9" s="154">
        <f t="shared" ca="1" si="1"/>
        <v>25.727528177313634</v>
      </c>
      <c r="G9" s="154">
        <f ca="1">F9*(100%-'Données projet'!$C$24)*(100%-'Données projet'!$C$25)*(100%-'Données projet'!$C$26)*(100%-'Données projet'!$C$27)</f>
        <v>23.154775359582271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0.70762596153846158</v>
      </c>
      <c r="K9" s="158">
        <f>J9*(100%-'Données projet'!$C$24)*(100%-'Données projet'!$C$25)*(100%-'Données projet'!$C$26)*(100%-'Données projet'!$C$27)</f>
        <v>0.63686336538461541</v>
      </c>
      <c r="L9" s="159">
        <f t="shared" ca="1" si="2"/>
        <v>23.791638724966887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0" t="str">
        <f>IF('Données projet'!$B$13="","",'Données projet'!$B$13)</f>
        <v>Chêne pédonculé</v>
      </c>
      <c r="B10" s="161">
        <f>'Données projet'!D13</f>
        <v>3.2844000000000005E-2</v>
      </c>
      <c r="C10" s="154">
        <f ca="1">IF(OR('Données projet'!B13="",'Données projet'!C13="",'Données projet'!C13=0%),0,Calculateur!CY3)</f>
        <v>403.33327536410098</v>
      </c>
      <c r="D10" s="154">
        <f>IF(OR('Données projet'!B13="",'Données projet'!C13="",'Données projet'!C13=0%),0,Calculateur!CZ3)</f>
        <v>218.26721063098552</v>
      </c>
      <c r="E10" s="154">
        <f t="shared" ca="1" si="0"/>
        <v>218.26721063098552</v>
      </c>
      <c r="F10" s="154">
        <f t="shared" ca="1" si="1"/>
        <v>7.168768265964089</v>
      </c>
      <c r="G10" s="154">
        <f ca="1">F10*(100%-'Données projet'!$C$24)*(100%-'Données projet'!$C$25)*(100%-'Données projet'!$C$26)*(100%-'Données projet'!$C$27)</f>
        <v>6.4518914393676798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6.568800000000001E-2</v>
      </c>
      <c r="K10" s="158">
        <f>J10*(100%-'Données projet'!$C$24)*(100%-'Données projet'!$C$25)*(100%-'Données projet'!$C$26)*(100%-'Données projet'!$C$27)</f>
        <v>5.9119200000000011E-2</v>
      </c>
      <c r="L10" s="159">
        <f t="shared" ca="1" si="2"/>
        <v>6.5110106393676794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0" t="str">
        <f>IF('Données projet'!$B$14="","",'Données projet'!$B$14)</f>
        <v>Erable sycomore</v>
      </c>
      <c r="B11" s="161">
        <f>'Données projet'!D14</f>
        <v>0.24149999999999999</v>
      </c>
      <c r="C11" s="154">
        <f ca="1">IF(OR('Données projet'!B14="",'Données projet'!C14="",'Données projet'!C14=0%),0,Calculateur!DT3)</f>
        <v>317.13087551964747</v>
      </c>
      <c r="D11" s="154">
        <f>IF(OR('Données projet'!B14="",'Données projet'!C14="",'Données projet'!C14=0%),0,Calculateur!DU3)</f>
        <v>293.43300041793185</v>
      </c>
      <c r="E11" s="154">
        <f t="shared" ca="1" si="0"/>
        <v>293.43300041793185</v>
      </c>
      <c r="F11" s="154">
        <f t="shared" ca="1" si="1"/>
        <v>70.864069600930534</v>
      </c>
      <c r="G11" s="154">
        <f ca="1">F11*(100%-'Données projet'!$C$24)*(100%-'Données projet'!$C$25)*(100%-'Données projet'!$C$26)*(100%-'Données projet'!$C$27)</f>
        <v>63.777662640837484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4.2926624999999996</v>
      </c>
      <c r="K11" s="158">
        <f>J11*(100%-'Données projet'!$C$24)*(100%-'Données projet'!$C$25)*(100%-'Données projet'!$C$26)*(100%-'Données projet'!$C$27)</f>
        <v>3.8633962499999996</v>
      </c>
      <c r="L11" s="159">
        <f t="shared" ca="1" si="2"/>
        <v>67.641058890837485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0" t="str">
        <f>IF('Données projet'!$B$15="","",'Données projet'!$B$15)</f>
        <v>Erable plane</v>
      </c>
      <c r="B12" s="161">
        <f>'Données projet'!D15</f>
        <v>0.24149999999999999</v>
      </c>
      <c r="C12" s="154">
        <f ca="1">IF(OR('Données projet'!B15="",'Données projet'!C15="",'Données projet'!C15=0%),0,Calculateur!EO3)</f>
        <v>253.03289960511904</v>
      </c>
      <c r="D12" s="154">
        <f>IF(OR('Données projet'!B15="",'Données projet'!C15="",'Données projet'!C15=0%),0,Calculateur!EP3)</f>
        <v>236.85088713056018</v>
      </c>
      <c r="E12" s="154">
        <f t="shared" ca="1" si="0"/>
        <v>236.85088713056018</v>
      </c>
      <c r="F12" s="154">
        <f t="shared" ca="1" si="1"/>
        <v>57.199489242030282</v>
      </c>
      <c r="G12" s="154">
        <f ca="1">F12*(100%-'Données projet'!$C$24)*(100%-'Données projet'!$C$25)*(100%-'Données projet'!$C$26)*(100%-'Données projet'!$C$27)</f>
        <v>51.479540317827258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2.5357499999999997</v>
      </c>
      <c r="K12" s="158">
        <f>J12*(100%-'Données projet'!$C$24)*(100%-'Données projet'!$C$25)*(100%-'Données projet'!$C$26)*(100%-'Données projet'!$C$27)</f>
        <v>2.2821749999999996</v>
      </c>
      <c r="L12" s="159">
        <f t="shared" ca="1" si="2"/>
        <v>53.76171531782726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0" t="str">
        <f>IF('Données projet'!$B$16="","",'Données projet'!$B$16)</f>
        <v>Erable champêtre</v>
      </c>
      <c r="B13" s="161">
        <f>'Données projet'!D16</f>
        <v>0.105133</v>
      </c>
      <c r="C13" s="154">
        <f ca="1">IF(OR('Données projet'!B16="",'Données projet'!C16="",'Données projet'!C16=0%),0,Calculateur!FJ3)</f>
        <v>274.38315511766132</v>
      </c>
      <c r="D13" s="154">
        <f>IF(OR('Données projet'!B16="",'Données projet'!C16="",'Données projet'!C16=0%),0,Calculateur!FK3)</f>
        <v>255.96663040027175</v>
      </c>
      <c r="E13" s="154">
        <f t="shared" ca="1" si="0"/>
        <v>255.96663040027175</v>
      </c>
      <c r="F13" s="154">
        <f t="shared" ca="1" si="1"/>
        <v>26.91053975387177</v>
      </c>
      <c r="G13" s="154">
        <f ca="1">F13*(100%-'Données projet'!$C$24)*(100%-'Données projet'!$C$25)*(100%-'Données projet'!$C$26)*(100%-'Données projet'!$C$27)</f>
        <v>24.219485778484593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1.1038965000000001</v>
      </c>
      <c r="K13" s="158">
        <f>J13*(100%-'Données projet'!$C$24)*(100%-'Données projet'!$C$25)*(100%-'Données projet'!$C$26)*(100%-'Données projet'!$C$27)</f>
        <v>0.99350685000000005</v>
      </c>
      <c r="L13" s="159">
        <f t="shared" ca="1" si="2"/>
        <v>25.212992628484592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0" t="str">
        <f>IF('Données projet'!$B$17="","",'Données projet'!$B$17)</f>
        <v>Hêtre</v>
      </c>
      <c r="B14" s="161">
        <f>'Données projet'!D17</f>
        <v>0.29366400000000004</v>
      </c>
      <c r="C14" s="154">
        <f ca="1">IF(OR('Données projet'!B17="",'Données projet'!C17="",'Données projet'!C17=0%),0,Calculateur!GE3)</f>
        <v>445.81166342116865</v>
      </c>
      <c r="D14" s="154">
        <f>IF(OR('Données projet'!B17="",'Données projet'!C17="",'Données projet'!C17=0%),0,Calculateur!GF3)</f>
        <v>230.82970731138215</v>
      </c>
      <c r="E14" s="154">
        <f t="shared" ca="1" si="0"/>
        <v>230.82970731138215</v>
      </c>
      <c r="F14" s="154">
        <f t="shared" ca="1" si="1"/>
        <v>67.78637516788973</v>
      </c>
      <c r="G14" s="154">
        <f ca="1">F14*(100%-'Données projet'!$C$24)*(100%-'Données projet'!$C$25)*(100%-'Données projet'!$C$26)*(100%-'Données projet'!$C$27)</f>
        <v>61.007737651100761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1.8354000000000001</v>
      </c>
      <c r="K14" s="158">
        <f>J14*(100%-'Données projet'!$C$24)*(100%-'Données projet'!$C$25)*(100%-'Données projet'!$C$26)*(100%-'Données projet'!$C$27)</f>
        <v>1.6518600000000001</v>
      </c>
      <c r="L14" s="159">
        <f t="shared" ca="1" si="2"/>
        <v>62.659597651100761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3" t="str">
        <f>IF('Données projet'!B18="","",'Données projet'!B18)</f>
        <v>Merisier</v>
      </c>
      <c r="B15" s="164">
        <f>'Données projet'!D18</f>
        <v>0.20865600000000001</v>
      </c>
      <c r="C15" s="165">
        <f ca="1">IF(OR('Données projet'!B18="",'Données projet'!C18="",'Données projet'!C18=0%),0,Calculateur!GZ3)</f>
        <v>289.19475369871481</v>
      </c>
      <c r="D15" s="165">
        <f>IF(OR('Données projet'!B18="",'Données projet'!C18="",'Données projet'!C18=0%),0,Calculateur!HA3)</f>
        <v>283.48738729114024</v>
      </c>
      <c r="E15" s="165">
        <f t="shared" ca="1" si="0"/>
        <v>283.48738729114024</v>
      </c>
      <c r="F15" s="166">
        <f t="shared" ca="1" si="1"/>
        <v>59.151344282620158</v>
      </c>
      <c r="G15" s="166">
        <f ca="1">F15*(100%-'Données projet'!$C$24)*(100%-'Données projet'!$C$25)*(100%-'Données projet'!$C$26)*(100%-'Données projet'!$C$27)</f>
        <v>53.236209854358144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2.8690199999999999</v>
      </c>
      <c r="K15" s="170">
        <f>J15*(100%-'Données projet'!$C$24)*(100%-'Données projet'!$C$25)*(100%-'Données projet'!$C$26)*(100%-'Données projet'!$C$27)</f>
        <v>2.5821179999999999</v>
      </c>
      <c r="L15" s="171">
        <f t="shared" ca="1" si="2"/>
        <v>55.818327854358145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4"/>
      <c r="B16" s="231"/>
      <c r="C16" s="232"/>
      <c r="D16" s="25"/>
      <c r="E16" s="25"/>
      <c r="F16" s="172">
        <f t="shared" ref="F16:L16" ca="1" si="3">SUM(F6:F15)</f>
        <v>393.55417284913324</v>
      </c>
      <c r="G16" s="173">
        <f t="shared" ca="1" si="3"/>
        <v>354.19875556421988</v>
      </c>
      <c r="H16" s="174">
        <f t="shared" si="3"/>
        <v>0</v>
      </c>
      <c r="I16" s="174">
        <f t="shared" si="3"/>
        <v>0</v>
      </c>
      <c r="J16" s="175">
        <f t="shared" si="3"/>
        <v>14.774356961538462</v>
      </c>
      <c r="K16" s="175">
        <f t="shared" si="3"/>
        <v>13.296921265384613</v>
      </c>
      <c r="L16" s="176">
        <f t="shared" ca="1" si="3"/>
        <v>367.49567682960446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4"/>
      <c r="B17" s="231"/>
      <c r="C17" s="232"/>
      <c r="D17" s="229"/>
      <c r="E17" s="229"/>
      <c r="F17" s="318" t="s">
        <v>246</v>
      </c>
      <c r="G17" s="319"/>
      <c r="H17" s="319"/>
      <c r="I17" s="319"/>
      <c r="J17" s="319"/>
      <c r="K17" s="319"/>
      <c r="L17" s="31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4"/>
      <c r="B18" s="231"/>
      <c r="C18" s="232"/>
      <c r="D18" s="229"/>
      <c r="E18" s="229"/>
      <c r="F18" s="320"/>
      <c r="G18" s="320"/>
      <c r="H18" s="320"/>
      <c r="I18" s="320"/>
      <c r="J18" s="320"/>
      <c r="K18" s="320"/>
      <c r="L18" s="32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7" t="str">
        <f>A6</f>
        <v>Alisier torminal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7" t="str">
        <f>A7</f>
        <v>Aulne glutineux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7" t="str">
        <f>A8</f>
        <v>Bouleau verruqueux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7" t="str">
        <f>A9</f>
        <v>Charme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7" t="str">
        <f>A10</f>
        <v>Chêne pédonculé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7" t="str">
        <f>A11</f>
        <v>Erable sycomore</v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7" t="str">
        <f>A12</f>
        <v>Erable plane</v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7" t="str">
        <f>A13</f>
        <v>Erable champêtre</v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7" t="str">
        <f>A14</f>
        <v>Hêtre</v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7" t="str">
        <f>A15</f>
        <v>Merisier</v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O1" zoomScale="90" zoomScaleNormal="90" workbookViewId="0">
      <selection activeCell="I21" sqref="I2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6" t="s">
        <v>272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3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3">
      <c r="A4" s="97"/>
      <c r="B4" s="97"/>
      <c r="C4" s="97"/>
      <c r="D4" s="97"/>
      <c r="E4" s="97"/>
      <c r="G4" s="178"/>
      <c r="H4" s="324" t="s">
        <v>315</v>
      </c>
      <c r="I4" s="324"/>
      <c r="K4" s="321" t="s">
        <v>253</v>
      </c>
      <c r="L4" s="322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3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" thickBot="1" x14ac:dyDescent="0.35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55000000000000004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32" t="s">
        <v>310</v>
      </c>
      <c r="S7" s="333"/>
      <c r="T7" s="333"/>
      <c r="U7" s="333"/>
      <c r="V7" s="334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3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Alisier torminal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438.82619679109092</v>
      </c>
      <c r="U10" s="188">
        <f>'Données projet'!D9</f>
        <v>0.15649199999999999</v>
      </c>
      <c r="V10" s="187">
        <f>U10*T10</f>
        <v>68.672789188231391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Aulne glutineux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264.55733040555583</v>
      </c>
      <c r="U11" s="188">
        <f>'Données projet'!D10</f>
        <v>8.6940000000000003E-2</v>
      </c>
      <c r="V11" s="187">
        <f t="shared" ref="V11" si="0">U11*T11</f>
        <v>23.000614305459024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Bouleau verruqueux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1355.5466758625269</v>
      </c>
      <c r="U12" s="188">
        <f>'Données projet'!D11</f>
        <v>0.105133</v>
      </c>
      <c r="V12" s="187">
        <f t="shared" ref="V12:V19" si="1">U12*T12</f>
        <v>142.51268867345505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Charme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417.81302621267378</v>
      </c>
      <c r="U13" s="188">
        <f>'Données projet'!D12</f>
        <v>0.105133</v>
      </c>
      <c r="V13" s="187">
        <f t="shared" si="1"/>
        <v>43.925936884817034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4" t="str">
        <f>IF('Données projet'!$B$9="","",'Données projet'!$B$9)</f>
        <v>Alisier torminal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Chêne pédonculé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641.80344332856191</v>
      </c>
      <c r="U14" s="188">
        <f>'Données projet'!D13</f>
        <v>3.2844000000000005E-2</v>
      </c>
      <c r="V14" s="187">
        <f t="shared" si="1"/>
        <v>21.079392292683291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9"/>
      <c r="G15" s="325" t="s">
        <v>318</v>
      </c>
      <c r="H15" s="201">
        <v>1</v>
      </c>
      <c r="I15" s="202">
        <v>0</v>
      </c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>Erable sycomore</v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1435.5043120512469</v>
      </c>
      <c r="U15" s="188">
        <f>'Données projet'!D14</f>
        <v>0.24149999999999999</v>
      </c>
      <c r="V15" s="187">
        <f t="shared" si="1"/>
        <v>346.67429136037612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25"/>
      <c r="H16" s="201"/>
      <c r="I16" s="202"/>
      <c r="J16" s="214"/>
      <c r="K16" s="223"/>
      <c r="L16" s="321" t="s">
        <v>254</v>
      </c>
      <c r="M16" s="322"/>
      <c r="N16" s="2"/>
      <c r="O16" s="25"/>
      <c r="P16" s="25"/>
      <c r="Q16" s="263"/>
      <c r="R16" s="25"/>
      <c r="S16" s="183" t="str">
        <f>B200</f>
        <v>Erable plane</v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796.79161239657356</v>
      </c>
      <c r="U16" s="188">
        <f>'Données projet'!D15</f>
        <v>0.24149999999999999</v>
      </c>
      <c r="V16" s="187">
        <f t="shared" si="1"/>
        <v>192.42517439377249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25"/>
      <c r="J17" s="214"/>
      <c r="K17" s="223"/>
      <c r="L17" s="292" t="s">
        <v>289</v>
      </c>
      <c r="M17" s="294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>Erable champêtre</v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796.79161239657356</v>
      </c>
      <c r="U17" s="188">
        <f>'Données projet'!D16</f>
        <v>0.105133</v>
      </c>
      <c r="V17" s="187">
        <f t="shared" si="1"/>
        <v>83.769092586088973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25"/>
      <c r="J18" s="214"/>
      <c r="K18" s="223"/>
      <c r="L18" s="292" t="s">
        <v>255</v>
      </c>
      <c r="M18" s="294"/>
      <c r="N18" s="203"/>
      <c r="O18" s="25"/>
      <c r="P18" s="25"/>
      <c r="Q18" s="263"/>
      <c r="R18" s="25"/>
      <c r="S18" s="183" t="str">
        <f>B262</f>
        <v>Hêtre</v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1720.7293825599004</v>
      </c>
      <c r="U18" s="188">
        <f>'Données projet'!D17</f>
        <v>0.29366400000000004</v>
      </c>
      <c r="V18" s="187">
        <f t="shared" si="1"/>
        <v>505.31627340007066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25"/>
      <c r="H19" s="230" t="s">
        <v>178</v>
      </c>
      <c r="I19" s="230" t="s">
        <v>287</v>
      </c>
      <c r="J19" s="258"/>
      <c r="K19" s="181"/>
      <c r="L19" s="321" t="s">
        <v>288</v>
      </c>
      <c r="M19" s="322"/>
      <c r="N19" s="189">
        <f>N17*N18</f>
        <v>0</v>
      </c>
      <c r="O19" s="25"/>
      <c r="P19" s="5"/>
      <c r="Q19" s="264"/>
      <c r="R19" s="5"/>
      <c r="S19" s="183" t="str">
        <f>B293</f>
        <v>Merisier</v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2544.5029050758412</v>
      </c>
      <c r="U19" s="188">
        <f>'Données projet'!D18</f>
        <v>0.20865600000000001</v>
      </c>
      <c r="V19" s="187">
        <f t="shared" si="1"/>
        <v>530.92579816150476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25"/>
      <c r="H20" s="201">
        <v>1</v>
      </c>
      <c r="I20" s="202">
        <v>6274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0">
        <f>'Données projet'!A36</f>
        <v>20</v>
      </c>
      <c r="B23" s="191">
        <f>'Données projet'!D36</f>
        <v>0</v>
      </c>
      <c r="C23" s="204"/>
      <c r="D23" s="192">
        <f>B23*C23</f>
        <v>0</v>
      </c>
      <c r="E23" s="204"/>
      <c r="F23" s="259"/>
      <c r="H23" s="201"/>
      <c r="I23" s="202"/>
      <c r="K23" s="223"/>
      <c r="L23" s="323" t="s">
        <v>260</v>
      </c>
      <c r="M23" s="323"/>
      <c r="N23" s="323"/>
      <c r="O23" s="25"/>
      <c r="P23" s="25"/>
      <c r="Q23" s="263"/>
      <c r="R23" s="25"/>
      <c r="S23" s="183" t="s">
        <v>264</v>
      </c>
      <c r="T23" s="33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-7707.8606281793782</v>
      </c>
      <c r="U23" s="337"/>
      <c r="V23" s="337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0">
        <f>'Données projet'!A37</f>
        <v>25</v>
      </c>
      <c r="B24" s="191">
        <f>'Données projet'!D37</f>
        <v>8</v>
      </c>
      <c r="C24" s="204">
        <v>10</v>
      </c>
      <c r="D24" s="192">
        <f t="shared" ref="D24:D42" si="2">B24*C24</f>
        <v>80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8">
        <f ca="1">'Scénario référence'!$B$8*$M$30*'Données projet'!$C$5+('Scénario référence'!B9+'Scénario référence'!B10+'Scénario référence'!F8+'Scénario référence'!F9)*$N$19/(1+M4)^N16*'Données projet'!$C$5</f>
        <v>12193.025418528989</v>
      </c>
      <c r="U24" s="338"/>
      <c r="V24" s="338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0">
        <f>'Données projet'!A38</f>
        <v>30</v>
      </c>
      <c r="B25" s="191">
        <f>'Données projet'!D38</f>
        <v>0</v>
      </c>
      <c r="C25" s="204"/>
      <c r="D25" s="192">
        <f t="shared" si="2"/>
        <v>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>
        <v>350</v>
      </c>
      <c r="Q25" s="263"/>
      <c r="R25" s="25"/>
      <c r="S25" s="196" t="s">
        <v>266</v>
      </c>
      <c r="T25" s="339">
        <f ca="1">T23-T24</f>
        <v>-19900.886046708365</v>
      </c>
      <c r="U25" s="339"/>
      <c r="V25" s="339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0">
        <f>'Données projet'!A39</f>
        <v>35</v>
      </c>
      <c r="B26" s="191">
        <f>'Données projet'!D39</f>
        <v>42</v>
      </c>
      <c r="C26" s="204">
        <v>10</v>
      </c>
      <c r="D26" s="192">
        <f t="shared" si="2"/>
        <v>420</v>
      </c>
      <c r="E26" s="204"/>
      <c r="F26" s="262"/>
      <c r="G26" s="257"/>
      <c r="H26" s="201"/>
      <c r="I26" s="202"/>
      <c r="K26" s="223"/>
      <c r="L26" s="326" t="s">
        <v>258</v>
      </c>
      <c r="M26" s="327"/>
      <c r="N26" s="327"/>
      <c r="O26" s="327"/>
      <c r="P26" s="328"/>
      <c r="Q26" s="263"/>
      <c r="R26" s="25"/>
      <c r="S26" s="196" t="s">
        <v>265</v>
      </c>
      <c r="T26" s="336" t="str">
        <f ca="1">IF(T25&lt;0,"Votre projet est additionnel","Votre projet n'est pas additionnel")</f>
        <v>Votre projet est additionnel</v>
      </c>
      <c r="U26" s="336"/>
      <c r="V26" s="336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0">
        <f>'Données projet'!A40</f>
        <v>40</v>
      </c>
      <c r="B27" s="191">
        <f>'Données projet'!D40</f>
        <v>0</v>
      </c>
      <c r="C27" s="204"/>
      <c r="D27" s="192">
        <f t="shared" si="2"/>
        <v>0</v>
      </c>
      <c r="E27" s="204"/>
      <c r="F27" s="262"/>
      <c r="G27" s="257"/>
      <c r="H27" s="201"/>
      <c r="I27" s="202"/>
      <c r="K27" s="223"/>
      <c r="L27" s="329"/>
      <c r="M27" s="330"/>
      <c r="N27" s="330"/>
      <c r="O27" s="330"/>
      <c r="P27" s="331"/>
      <c r="Q27" s="263"/>
      <c r="R27" s="25"/>
      <c r="S27" s="335" t="s">
        <v>267</v>
      </c>
      <c r="T27" s="335"/>
      <c r="U27" s="335"/>
      <c r="V27" s="33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0">
        <f>'Données projet'!A41</f>
        <v>45</v>
      </c>
      <c r="B28" s="191">
        <f>'Données projet'!D41</f>
        <v>42</v>
      </c>
      <c r="C28" s="204">
        <v>15</v>
      </c>
      <c r="D28" s="192">
        <f t="shared" si="2"/>
        <v>630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0">
        <f>'Données projet'!A42</f>
        <v>50</v>
      </c>
      <c r="B29" s="191">
        <f>'Données projet'!D42</f>
        <v>0</v>
      </c>
      <c r="C29" s="204"/>
      <c r="D29" s="192">
        <f t="shared" si="2"/>
        <v>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0">
        <f>'Données projet'!A43</f>
        <v>55</v>
      </c>
      <c r="B30" s="191">
        <f>'Données projet'!D43</f>
        <v>42</v>
      </c>
      <c r="C30" s="204">
        <v>15</v>
      </c>
      <c r="D30" s="192">
        <f t="shared" si="2"/>
        <v>630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7573.3077133720426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0">
        <f>'Données projet'!A44</f>
        <v>60</v>
      </c>
      <c r="B31" s="191">
        <f>'Données projet'!D44</f>
        <v>0</v>
      </c>
      <c r="C31" s="204"/>
      <c r="D31" s="192">
        <f t="shared" si="2"/>
        <v>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0">
        <f>'Données projet'!A45</f>
        <v>65</v>
      </c>
      <c r="B32" s="191">
        <f>'Données projet'!D45</f>
        <v>42</v>
      </c>
      <c r="C32" s="204">
        <v>20</v>
      </c>
      <c r="D32" s="192">
        <f t="shared" si="2"/>
        <v>840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0">
        <f>'Données projet'!A46</f>
        <v>70</v>
      </c>
      <c r="B33" s="191">
        <f>'Données projet'!D46</f>
        <v>0</v>
      </c>
      <c r="C33" s="204"/>
      <c r="D33" s="192">
        <f t="shared" si="2"/>
        <v>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350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0">
        <f>'Données projet'!A47</f>
        <v>75</v>
      </c>
      <c r="B34" s="191">
        <f>'Données projet'!D47</f>
        <v>42</v>
      </c>
      <c r="C34" s="204">
        <v>20</v>
      </c>
      <c r="D34" s="192">
        <f t="shared" si="2"/>
        <v>840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3"/>
        <v>334.9282296650718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0">
        <f>'Données projet'!A48</f>
        <v>80</v>
      </c>
      <c r="B35" s="191">
        <f>'Données projet'!D48</f>
        <v>0</v>
      </c>
      <c r="C35" s="204"/>
      <c r="D35" s="192">
        <f t="shared" si="2"/>
        <v>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3"/>
        <v>320.5054829330831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0">
        <f>'Données projet'!A49</f>
        <v>85</v>
      </c>
      <c r="B36" s="191">
        <f>'Données projet'!D49</f>
        <v>42</v>
      </c>
      <c r="C36" s="204">
        <v>25</v>
      </c>
      <c r="D36" s="192">
        <f t="shared" si="2"/>
        <v>1050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306.70381141921825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0">
        <f>'Données projet'!A50</f>
        <v>95</v>
      </c>
      <c r="B37" s="191">
        <f>'Données projet'!D50</f>
        <v>42</v>
      </c>
      <c r="C37" s="204">
        <v>30</v>
      </c>
      <c r="D37" s="192">
        <f t="shared" si="2"/>
        <v>1260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293.49647025762522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0">
        <f>'Données projet'!A51</f>
        <v>105</v>
      </c>
      <c r="B38" s="191">
        <f>'Données projet'!D51</f>
        <v>41</v>
      </c>
      <c r="C38" s="204">
        <v>35</v>
      </c>
      <c r="D38" s="192">
        <f t="shared" si="2"/>
        <v>1435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280.85786627523942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0">
        <f>'Données projet'!A52</f>
        <v>115</v>
      </c>
      <c r="B39" s="191">
        <f>'Données projet'!D52</f>
        <v>37</v>
      </c>
      <c r="C39" s="204">
        <v>40</v>
      </c>
      <c r="D39" s="192">
        <f t="shared" si="2"/>
        <v>1480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268.76350839735841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0">
        <f>'Données projet'!A53</f>
        <v>125</v>
      </c>
      <c r="B40" s="191">
        <f>'Données projet'!D53</f>
        <v>33</v>
      </c>
      <c r="C40" s="204">
        <v>45</v>
      </c>
      <c r="D40" s="192">
        <f t="shared" si="2"/>
        <v>1485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257.18996018885969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0">
        <f>'Données projet'!A54</f>
        <v>135</v>
      </c>
      <c r="B41" s="191">
        <f>'Données projet'!D54</f>
        <v>29</v>
      </c>
      <c r="C41" s="204">
        <v>50</v>
      </c>
      <c r="D41" s="192">
        <f t="shared" si="2"/>
        <v>1450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246.11479443910025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0">
        <f>'Données projet'!A55</f>
        <v>150</v>
      </c>
      <c r="B42" s="191">
        <f>'Données projet'!D55</f>
        <v>306</v>
      </c>
      <c r="C42" s="204">
        <v>55</v>
      </c>
      <c r="D42" s="192">
        <f t="shared" si="2"/>
        <v>16830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235.51654970248828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225.37468871051516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215.66955857465564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4" t="str">
        <f>IF('Données projet'!$B$10="","",'Données projet'!$B$10)</f>
        <v>Aulne glutineux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206.38235270301979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197.49507435695674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188.99050177699215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180.85215481051878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3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173.06426297657308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3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165.61173490581155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158.48012909647039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151.65562592963676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145.12500088960459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0">
        <f>'Données projet'!A62</f>
        <v>25</v>
      </c>
      <c r="B54" s="191">
        <f>'Données projet'!D62</f>
        <v>0</v>
      </c>
      <c r="C54" s="202"/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138.87559893742065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0">
        <f>'Données projet'!A63</f>
        <v>30</v>
      </c>
      <c r="B55" s="191">
        <f>'Données projet'!D63</f>
        <v>0</v>
      </c>
      <c r="C55" s="202"/>
      <c r="D55" s="189">
        <f t="shared" ref="D55:D73" si="4">B55*C55</f>
        <v>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132.89530998796238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0">
        <f>'Données projet'!A64</f>
        <v>40</v>
      </c>
      <c r="B56" s="191">
        <f>'Données projet'!D64</f>
        <v>0</v>
      </c>
      <c r="C56" s="202"/>
      <c r="D56" s="189">
        <f t="shared" si="4"/>
        <v>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127.17254544302619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0">
        <f>'Données projet'!A65</f>
        <v>50</v>
      </c>
      <c r="B57" s="191">
        <f>'Données projet'!D65</f>
        <v>0</v>
      </c>
      <c r="C57" s="202"/>
      <c r="D57" s="189">
        <f t="shared" si="4"/>
        <v>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121.69621573495333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0">
        <f>'Données projet'!A66</f>
        <v>60</v>
      </c>
      <c r="B58" s="191">
        <f>'Données projet'!D66</f>
        <v>0</v>
      </c>
      <c r="C58" s="202"/>
      <c r="D58" s="189">
        <f t="shared" si="4"/>
        <v>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116.45570883727592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0">
        <f>'Données projet'!A67</f>
        <v>80</v>
      </c>
      <c r="B59" s="191">
        <f>'Données projet'!D67</f>
        <v>179</v>
      </c>
      <c r="C59" s="202">
        <v>50</v>
      </c>
      <c r="D59" s="189">
        <f t="shared" si="4"/>
        <v>8950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111.44086970074254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0">
        <f>'Données projet'!A68</f>
        <v>0</v>
      </c>
      <c r="B60" s="191">
        <f>'Données projet'!D68</f>
        <v>0</v>
      </c>
      <c r="C60" s="202"/>
      <c r="D60" s="189">
        <f t="shared" si="4"/>
        <v>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106.64198057487323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0">
        <f>'Données projet'!A69</f>
        <v>0</v>
      </c>
      <c r="B61" s="191">
        <f>'Données projet'!D69</f>
        <v>0</v>
      </c>
      <c r="C61" s="202"/>
      <c r="D61" s="189">
        <f t="shared" si="4"/>
        <v>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102.04974217691222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0">
        <f>'Données projet'!A70</f>
        <v>0</v>
      </c>
      <c r="B62" s="191">
        <f>'Données projet'!D70</f>
        <v>0</v>
      </c>
      <c r="C62" s="202"/>
      <c r="D62" s="189">
        <f t="shared" si="4"/>
        <v>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97.655255671686319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0">
        <f>'Données projet'!A71</f>
        <v>0</v>
      </c>
      <c r="B63" s="191">
        <f>'Données projet'!D71</f>
        <v>0</v>
      </c>
      <c r="C63" s="202"/>
      <c r="D63" s="189">
        <f t="shared" si="4"/>
        <v>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93.450005427451046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0">
        <f>'Données projet'!A72</f>
        <v>0</v>
      </c>
      <c r="B64" s="191">
        <f>'Données projet'!D72</f>
        <v>0</v>
      </c>
      <c r="C64" s="202"/>
      <c r="D64" s="189">
        <f t="shared" si="4"/>
        <v>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89.425842514307206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0">
        <f>'Données projet'!A73</f>
        <v>0</v>
      </c>
      <c r="B65" s="191">
        <f>'Données projet'!D73</f>
        <v>0</v>
      </c>
      <c r="C65" s="202"/>
      <c r="D65" s="189">
        <f t="shared" si="4"/>
        <v>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85.574968913212686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0">
        <f>'Données projet'!A74</f>
        <v>0</v>
      </c>
      <c r="B66" s="191">
        <f>'Données projet'!D74</f>
        <v>0</v>
      </c>
      <c r="C66" s="202"/>
      <c r="D66" s="189">
        <f t="shared" si="4"/>
        <v>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81.889922404988226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0">
        <f>'Données projet'!A75</f>
        <v>0</v>
      </c>
      <c r="B67" s="191">
        <f>'Données projet'!D75</f>
        <v>0</v>
      </c>
      <c r="C67" s="202"/>
      <c r="D67" s="189">
        <f t="shared" si="4"/>
        <v>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78.363562110036582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0">
        <f>'Données projet'!A76</f>
        <v>0</v>
      </c>
      <c r="B68" s="191">
        <f>'Données projet'!D76</f>
        <v>0</v>
      </c>
      <c r="C68" s="202"/>
      <c r="D68" s="189">
        <f t="shared" si="4"/>
        <v>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74.98905465075272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0">
        <f>'Données projet'!A77</f>
        <v>0</v>
      </c>
      <c r="B69" s="191">
        <f>'Données projet'!D77</f>
        <v>0</v>
      </c>
      <c r="C69" s="202"/>
      <c r="D69" s="189">
        <f t="shared" si="4"/>
        <v>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71.759860909811223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0">
        <f>'Données projet'!A78</f>
        <v>0</v>
      </c>
      <c r="B70" s="191">
        <f>'Données projet'!D78</f>
        <v>0</v>
      </c>
      <c r="C70" s="202"/>
      <c r="D70" s="189">
        <f t="shared" si="4"/>
        <v>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68.669723358671035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0">
        <f>'Données projet'!A79</f>
        <v>0</v>
      </c>
      <c r="B71" s="191">
        <f>'Données projet'!D79</f>
        <v>0</v>
      </c>
      <c r="C71" s="202"/>
      <c r="D71" s="189">
        <f t="shared" si="4"/>
        <v>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65.712653931742622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0">
        <f>'Données projet'!A80</f>
        <v>0</v>
      </c>
      <c r="B72" s="191">
        <f>'Données projet'!D80</f>
        <v>0</v>
      </c>
      <c r="C72" s="202"/>
      <c r="D72" s="189">
        <f t="shared" si="4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62.88292242272022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0">
        <f>'Données projet'!A81</f>
        <v>0</v>
      </c>
      <c r="B73" s="191">
        <f>'Données projet'!D81</f>
        <v>0</v>
      </c>
      <c r="C73" s="202"/>
      <c r="D73" s="189">
        <f t="shared" si="4"/>
        <v>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60.175045380593524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57.583775483821562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55.104091372078059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4" t="str">
        <f>IF('Données projet'!B11="","",'Données projet'!B11)</f>
        <v>Bouleau verruqueux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52.731187915864169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50.460466905133188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48.287528138883431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5"/>
        <v>46.208160898453052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5"/>
        <v>44.218335787993347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5"/>
        <v>42.314196926309442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5"/>
        <v>40.492054474937262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5"/>
        <v>38.748377487978253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5"/>
        <v>37.079787069835646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0">
        <f>'Données projet'!A88</f>
        <v>10</v>
      </c>
      <c r="B85" s="191">
        <f>'Données projet'!D88</f>
        <v>0</v>
      </c>
      <c r="C85" s="202"/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5"/>
        <v>35.483049827593931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0">
        <f>'Données projet'!A89</f>
        <v>15</v>
      </c>
      <c r="B86" s="191">
        <f>'Données projet'!D89</f>
        <v>0</v>
      </c>
      <c r="C86" s="202"/>
      <c r="D86" s="189">
        <f t="shared" ref="D86:D104" si="6">B86*C86</f>
        <v>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5"/>
        <v>33.955071605353041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0">
        <f>'Données projet'!A90</f>
        <v>20</v>
      </c>
      <c r="B87" s="191">
        <f>'Données projet'!D90</f>
        <v>40</v>
      </c>
      <c r="C87" s="202">
        <v>10</v>
      </c>
      <c r="D87" s="189">
        <f t="shared" si="6"/>
        <v>400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5"/>
        <v>32.492891488376131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0">
        <f>'Données projet'!A91</f>
        <v>25</v>
      </c>
      <c r="B88" s="191">
        <f>'Données projet'!D91</f>
        <v>0</v>
      </c>
      <c r="C88" s="202"/>
      <c r="D88" s="189">
        <f t="shared" si="6"/>
        <v>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5"/>
        <v>31.093676065431698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0">
        <f>'Données projet'!A92</f>
        <v>30</v>
      </c>
      <c r="B89" s="191">
        <f>'Données projet'!D92</f>
        <v>0</v>
      </c>
      <c r="C89" s="202"/>
      <c r="D89" s="189">
        <f t="shared" si="6"/>
        <v>0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5"/>
        <v>29.754713938212159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0">
        <f>'Données projet'!A93</f>
        <v>35</v>
      </c>
      <c r="B90" s="191">
        <f>'Données projet'!D93</f>
        <v>76</v>
      </c>
      <c r="C90" s="202">
        <v>20</v>
      </c>
      <c r="D90" s="189">
        <f t="shared" si="6"/>
        <v>1520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5"/>
        <v>28.473410467188671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0">
        <f>'Données projet'!A94</f>
        <v>40</v>
      </c>
      <c r="B91" s="191">
        <f>'Données projet'!D94</f>
        <v>0</v>
      </c>
      <c r="C91" s="202"/>
      <c r="D91" s="189">
        <f t="shared" si="6"/>
        <v>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5"/>
        <v>27.247282743721222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0">
        <f>'Données projet'!A95</f>
        <v>45</v>
      </c>
      <c r="B92" s="191">
        <f>'Données projet'!D95</f>
        <v>0</v>
      </c>
      <c r="C92" s="202"/>
      <c r="D92" s="189">
        <f t="shared" si="6"/>
        <v>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5"/>
        <v>26.073954778680598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0">
        <f>'Données projet'!A96</f>
        <v>50</v>
      </c>
      <c r="B93" s="191">
        <f>'Données projet'!D96</f>
        <v>0</v>
      </c>
      <c r="C93" s="202"/>
      <c r="D93" s="189">
        <f t="shared" si="6"/>
        <v>0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5"/>
        <v>24.951152898258947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0">
        <f>'Données projet'!A97</f>
        <v>55</v>
      </c>
      <c r="B94" s="191">
        <f>'Données projet'!D97</f>
        <v>0</v>
      </c>
      <c r="C94" s="202"/>
      <c r="D94" s="189">
        <f t="shared" si="6"/>
        <v>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 t="str">
        <f>IF(O93+1&lt;=MIN('Données projet'!$E$9:$E$18),O93+1,"STOP")</f>
        <v>STOP</v>
      </c>
      <c r="P94" s="195" t="e">
        <f t="shared" si="5"/>
        <v>#VALUE!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0">
        <f>'Données projet'!A98</f>
        <v>60</v>
      </c>
      <c r="B95" s="191">
        <f>'Données projet'!D98</f>
        <v>303</v>
      </c>
      <c r="C95" s="202">
        <v>40</v>
      </c>
      <c r="D95" s="189">
        <f t="shared" si="6"/>
        <v>12120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 t="e">
        <f>IF(O94+1&lt;=MIN('Données projet'!$E$9:$E$18),O94+1,"STOP")</f>
        <v>#VALUE!</v>
      </c>
      <c r="P95" s="195" t="e">
        <f t="shared" si="5"/>
        <v>#VALUE!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0">
        <f>'Données projet'!A99</f>
        <v>0</v>
      </c>
      <c r="B96" s="191">
        <f>'Données projet'!D99</f>
        <v>0</v>
      </c>
      <c r="C96" s="202"/>
      <c r="D96" s="189">
        <f t="shared" si="6"/>
        <v>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 t="e">
        <f>IF(O95+1&lt;=MIN('Données projet'!$E$9:$E$18),O95+1,"STOP")</f>
        <v>#VALUE!</v>
      </c>
      <c r="P96" s="195" t="e">
        <f t="shared" si="5"/>
        <v>#VALUE!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0">
        <f>'Données projet'!A100</f>
        <v>0</v>
      </c>
      <c r="B97" s="191">
        <f>'Données projet'!D100</f>
        <v>0</v>
      </c>
      <c r="C97" s="202"/>
      <c r="D97" s="189">
        <f t="shared" si="6"/>
        <v>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 t="e">
        <f>IF(O96+1&lt;=MIN('Données projet'!$E$9:$E$18),O96+1,"STOP")</f>
        <v>#VALUE!</v>
      </c>
      <c r="P97" s="195" t="e">
        <f t="shared" ref="P97:P128" si="7">$P$25/(1+$M$4)^O97</f>
        <v>#VALUE!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0">
        <f>'Données projet'!A101</f>
        <v>0</v>
      </c>
      <c r="B98" s="191">
        <f>'Données projet'!D101</f>
        <v>0</v>
      </c>
      <c r="C98" s="202"/>
      <c r="D98" s="189">
        <f t="shared" si="6"/>
        <v>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 t="e">
        <f>IF(O97+1&lt;=MIN('Données projet'!$E$9:$E$18),O97+1,"STOP")</f>
        <v>#VALUE!</v>
      </c>
      <c r="P98" s="195" t="e">
        <f t="shared" si="7"/>
        <v>#VALUE!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0">
        <f>'Données projet'!A102</f>
        <v>0</v>
      </c>
      <c r="B99" s="191">
        <f>'Données projet'!D102</f>
        <v>0</v>
      </c>
      <c r="C99" s="202"/>
      <c r="D99" s="189">
        <f t="shared" si="6"/>
        <v>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 t="e">
        <f>IF(O98+1&lt;=MIN('Données projet'!$E$9:$E$18),O98+1,"STOP")</f>
        <v>#VALUE!</v>
      </c>
      <c r="P99" s="195" t="e">
        <f t="shared" si="7"/>
        <v>#VALUE!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0">
        <f>'Données projet'!A103</f>
        <v>0</v>
      </c>
      <c r="B100" s="191">
        <f>'Données projet'!D103</f>
        <v>0</v>
      </c>
      <c r="C100" s="202"/>
      <c r="D100" s="189">
        <f t="shared" si="6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 t="e">
        <f>IF(O99+1&lt;=MIN('Données projet'!$E$9:$E$18),O99+1,"STOP")</f>
        <v>#VALUE!</v>
      </c>
      <c r="P100" s="195" t="e">
        <f t="shared" si="7"/>
        <v>#VALUE!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0">
        <f>'Données projet'!A104</f>
        <v>0</v>
      </c>
      <c r="B101" s="191">
        <f>'Données projet'!D104</f>
        <v>0</v>
      </c>
      <c r="C101" s="202"/>
      <c r="D101" s="189">
        <f t="shared" si="6"/>
        <v>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 t="e">
        <f>IF(O100+1&lt;=MIN('Données projet'!$E$9:$E$18),O100+1,"STOP")</f>
        <v>#VALUE!</v>
      </c>
      <c r="P101" s="195" t="e">
        <f t="shared" si="7"/>
        <v>#VALUE!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0">
        <f>'Données projet'!A105</f>
        <v>0</v>
      </c>
      <c r="B102" s="191">
        <f>'Données projet'!D105</f>
        <v>0</v>
      </c>
      <c r="C102" s="202"/>
      <c r="D102" s="189">
        <f t="shared" si="6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 t="e">
        <f>IF(O101+1&lt;=MIN('Données projet'!$E$9:$E$18),O101+1,"STOP")</f>
        <v>#VALUE!</v>
      </c>
      <c r="P102" s="195" t="e">
        <f t="shared" si="7"/>
        <v>#VALUE!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0">
        <f>'Données projet'!A106</f>
        <v>0</v>
      </c>
      <c r="B103" s="191">
        <f>'Données projet'!D106</f>
        <v>0</v>
      </c>
      <c r="C103" s="202"/>
      <c r="D103" s="189">
        <f t="shared" si="6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 t="e">
        <f>IF(O102+1&lt;=MIN('Données projet'!$E$9:$E$18),O102+1,"STOP")</f>
        <v>#VALUE!</v>
      </c>
      <c r="P103" s="195" t="e">
        <f t="shared" si="7"/>
        <v>#VALUE!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0">
        <f>'Données projet'!A107</f>
        <v>0</v>
      </c>
      <c r="B104" s="191">
        <f>'Données projet'!D107</f>
        <v>0</v>
      </c>
      <c r="C104" s="202"/>
      <c r="D104" s="189">
        <f t="shared" si="6"/>
        <v>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7"/>
        <v>#VALUE!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4" t="str">
        <f>IF('Données projet'!B12="","",'Données projet'!B12)</f>
        <v>Charme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0">
        <f>'Données projet'!A114</f>
        <v>15</v>
      </c>
      <c r="B116" s="191">
        <f>'Données projet'!D114</f>
        <v>0</v>
      </c>
      <c r="C116" s="202"/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0">
        <f>'Données projet'!A115</f>
        <v>20</v>
      </c>
      <c r="B117" s="191">
        <f>'Données projet'!D115</f>
        <v>0</v>
      </c>
      <c r="C117" s="202"/>
      <c r="D117" s="189">
        <f t="shared" ref="D117:D135" si="8">B117*C117</f>
        <v>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0">
        <f>'Données projet'!A116</f>
        <v>25</v>
      </c>
      <c r="B118" s="191">
        <f>'Données projet'!D116</f>
        <v>26.923076923076923</v>
      </c>
      <c r="C118" s="202">
        <v>10</v>
      </c>
      <c r="D118" s="189">
        <f t="shared" si="8"/>
        <v>269.23076923076923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0">
        <f>'Données projet'!A117</f>
        <v>30</v>
      </c>
      <c r="B119" s="191">
        <f>'Données projet'!D117</f>
        <v>0</v>
      </c>
      <c r="C119" s="202"/>
      <c r="D119" s="189">
        <f t="shared" si="8"/>
        <v>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0">
        <f>'Données projet'!A118</f>
        <v>35</v>
      </c>
      <c r="B120" s="191">
        <f>'Données projet'!D118</f>
        <v>26.282051282051281</v>
      </c>
      <c r="C120" s="202">
        <v>10</v>
      </c>
      <c r="D120" s="189">
        <f t="shared" si="8"/>
        <v>262.82051282051282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0">
        <f>'Données projet'!A119</f>
        <v>40</v>
      </c>
      <c r="B121" s="191">
        <f>'Données projet'!D119</f>
        <v>0</v>
      </c>
      <c r="C121" s="202"/>
      <c r="D121" s="189">
        <f t="shared" si="8"/>
        <v>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0">
        <f>'Données projet'!A120</f>
        <v>45</v>
      </c>
      <c r="B122" s="191">
        <f>'Données projet'!D120</f>
        <v>28.205128205128204</v>
      </c>
      <c r="C122" s="202">
        <v>15</v>
      </c>
      <c r="D122" s="189">
        <f t="shared" si="8"/>
        <v>423.07692307692309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0">
        <f>'Données projet'!A121</f>
        <v>50</v>
      </c>
      <c r="B123" s="191">
        <f>'Données projet'!D121</f>
        <v>0</v>
      </c>
      <c r="C123" s="202"/>
      <c r="D123" s="189">
        <f t="shared" si="8"/>
        <v>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0">
        <f>'Données projet'!A122</f>
        <v>55</v>
      </c>
      <c r="B124" s="191">
        <f>'Données projet'!D122</f>
        <v>28.205128205128204</v>
      </c>
      <c r="C124" s="202">
        <v>20</v>
      </c>
      <c r="D124" s="189">
        <f t="shared" si="8"/>
        <v>564.10256410256409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0">
        <f>'Données projet'!A123</f>
        <v>60</v>
      </c>
      <c r="B125" s="191">
        <f>'Données projet'!D123</f>
        <v>0</v>
      </c>
      <c r="C125" s="202"/>
      <c r="D125" s="189">
        <f t="shared" si="8"/>
        <v>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0">
        <f>'Données projet'!A124</f>
        <v>65</v>
      </c>
      <c r="B126" s="191">
        <f>'Données projet'!D124</f>
        <v>28.205128205128204</v>
      </c>
      <c r="C126" s="202">
        <v>20</v>
      </c>
      <c r="D126" s="189">
        <f t="shared" si="8"/>
        <v>564.10256410256409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0">
        <f>'Données projet'!A125</f>
        <v>70</v>
      </c>
      <c r="B127" s="191">
        <f>'Données projet'!D125</f>
        <v>0</v>
      </c>
      <c r="C127" s="202"/>
      <c r="D127" s="189">
        <f t="shared" si="8"/>
        <v>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0">
        <f>'Données projet'!A126</f>
        <v>75</v>
      </c>
      <c r="B128" s="191">
        <f>'Données projet'!D126</f>
        <v>26.923076923076923</v>
      </c>
      <c r="C128" s="202">
        <v>25</v>
      </c>
      <c r="D128" s="189">
        <f t="shared" si="8"/>
        <v>673.07692307692309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0">
        <f>'Données projet'!A127</f>
        <v>80</v>
      </c>
      <c r="B129" s="191">
        <f>'Données projet'!D127</f>
        <v>0</v>
      </c>
      <c r="C129" s="202"/>
      <c r="D129" s="189">
        <f t="shared" si="8"/>
        <v>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0">
        <f>'Données projet'!A128</f>
        <v>85</v>
      </c>
      <c r="B130" s="191">
        <f>'Données projet'!D128</f>
        <v>25.641025641025639</v>
      </c>
      <c r="C130" s="202">
        <v>30</v>
      </c>
      <c r="D130" s="189">
        <f t="shared" si="8"/>
        <v>769.23076923076917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0">
        <f>'Données projet'!A129</f>
        <v>90</v>
      </c>
      <c r="B131" s="191">
        <f>'Données projet'!D129</f>
        <v>0</v>
      </c>
      <c r="C131" s="202"/>
      <c r="D131" s="189">
        <f t="shared" si="8"/>
        <v>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0">
        <f>'Données projet'!A130</f>
        <v>95</v>
      </c>
      <c r="B132" s="191">
        <f>'Données projet'!D130</f>
        <v>23.717948717948715</v>
      </c>
      <c r="C132" s="202">
        <v>35</v>
      </c>
      <c r="D132" s="189">
        <f t="shared" si="8"/>
        <v>830.12820512820508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0">
        <f>'Données projet'!A131</f>
        <v>100</v>
      </c>
      <c r="B133" s="191">
        <f>'Données projet'!D131</f>
        <v>0</v>
      </c>
      <c r="C133" s="202"/>
      <c r="D133" s="189">
        <f t="shared" si="8"/>
        <v>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0">
        <f>'Données projet'!A132</f>
        <v>105</v>
      </c>
      <c r="B134" s="191">
        <f>'Données projet'!D132</f>
        <v>22.435897435897434</v>
      </c>
      <c r="C134" s="202">
        <v>40</v>
      </c>
      <c r="D134" s="189">
        <f t="shared" si="8"/>
        <v>897.43589743589735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0">
        <f>'Données projet'!A133</f>
        <v>120</v>
      </c>
      <c r="B135" s="191">
        <f>'Données projet'!D133</f>
        <v>262.17948717948718</v>
      </c>
      <c r="C135" s="202">
        <v>50</v>
      </c>
      <c r="D135" s="189">
        <f t="shared" si="8"/>
        <v>13108.974358974359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4" t="str">
        <f>IF('Données projet'!B13="","",'Données projet'!B13)</f>
        <v>Chêne pédonculé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20</v>
      </c>
      <c r="B147" s="185">
        <f>'Données projet'!D140</f>
        <v>0</v>
      </c>
      <c r="C147" s="202"/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25</v>
      </c>
      <c r="B148" s="185">
        <f>'Données projet'!D141</f>
        <v>8</v>
      </c>
      <c r="C148" s="202">
        <v>10</v>
      </c>
      <c r="D148" s="192">
        <f t="shared" ref="D148:D166" si="10">B148*C148</f>
        <v>80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30</v>
      </c>
      <c r="B149" s="185">
        <f>'Données projet'!D142</f>
        <v>0</v>
      </c>
      <c r="C149" s="202"/>
      <c r="D149" s="192">
        <f t="shared" si="10"/>
        <v>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35</v>
      </c>
      <c r="B150" s="185">
        <f>'Données projet'!D143</f>
        <v>42</v>
      </c>
      <c r="C150" s="202">
        <v>10</v>
      </c>
      <c r="D150" s="192">
        <f t="shared" si="10"/>
        <v>420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40</v>
      </c>
      <c r="B151" s="185">
        <f>'Données projet'!D144</f>
        <v>0</v>
      </c>
      <c r="C151" s="202"/>
      <c r="D151" s="192">
        <f t="shared" si="10"/>
        <v>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45</v>
      </c>
      <c r="B152" s="185">
        <f>'Données projet'!D145</f>
        <v>42</v>
      </c>
      <c r="C152" s="202">
        <v>15</v>
      </c>
      <c r="D152" s="192">
        <f t="shared" si="10"/>
        <v>630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50</v>
      </c>
      <c r="B153" s="185">
        <f>'Données projet'!D146</f>
        <v>0</v>
      </c>
      <c r="C153" s="202"/>
      <c r="D153" s="192">
        <f t="shared" si="10"/>
        <v>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55</v>
      </c>
      <c r="B154" s="185">
        <f>'Données projet'!D147</f>
        <v>42</v>
      </c>
      <c r="C154" s="202">
        <v>20</v>
      </c>
      <c r="D154" s="192">
        <f t="shared" si="10"/>
        <v>840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60</v>
      </c>
      <c r="B155" s="185">
        <f>'Données projet'!D148</f>
        <v>0</v>
      </c>
      <c r="C155" s="202"/>
      <c r="D155" s="192">
        <f t="shared" si="10"/>
        <v>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65</v>
      </c>
      <c r="B156" s="185">
        <f>'Données projet'!D149</f>
        <v>42</v>
      </c>
      <c r="C156" s="202">
        <v>30</v>
      </c>
      <c r="D156" s="192">
        <f t="shared" si="10"/>
        <v>1260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70</v>
      </c>
      <c r="B157" s="185">
        <f>'Données projet'!D150</f>
        <v>0</v>
      </c>
      <c r="C157" s="202"/>
      <c r="D157" s="192">
        <f t="shared" si="10"/>
        <v>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75</v>
      </c>
      <c r="B158" s="185">
        <f>'Données projet'!D151</f>
        <v>42</v>
      </c>
      <c r="C158" s="202">
        <v>40</v>
      </c>
      <c r="D158" s="192">
        <f t="shared" si="10"/>
        <v>1680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80</v>
      </c>
      <c r="B159" s="185">
        <f>'Données projet'!D152</f>
        <v>0</v>
      </c>
      <c r="C159" s="202"/>
      <c r="D159" s="192">
        <f t="shared" si="10"/>
        <v>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85</v>
      </c>
      <c r="B160" s="185">
        <f>'Données projet'!D153</f>
        <v>42</v>
      </c>
      <c r="C160" s="202">
        <v>60</v>
      </c>
      <c r="D160" s="192">
        <f t="shared" si="10"/>
        <v>2520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95</v>
      </c>
      <c r="B161" s="185">
        <f>'Données projet'!D154</f>
        <v>42</v>
      </c>
      <c r="C161" s="202">
        <v>70</v>
      </c>
      <c r="D161" s="192">
        <f t="shared" si="10"/>
        <v>2940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105</v>
      </c>
      <c r="B162" s="185">
        <f>'Données projet'!D155</f>
        <v>41</v>
      </c>
      <c r="C162" s="202">
        <v>80</v>
      </c>
      <c r="D162" s="192">
        <f t="shared" si="10"/>
        <v>3280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115</v>
      </c>
      <c r="B163" s="185">
        <f>'Données projet'!D156</f>
        <v>37</v>
      </c>
      <c r="C163" s="202">
        <v>90</v>
      </c>
      <c r="D163" s="192">
        <f t="shared" si="10"/>
        <v>3330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125</v>
      </c>
      <c r="B164" s="185">
        <f>'Données projet'!D157</f>
        <v>33</v>
      </c>
      <c r="C164" s="202">
        <v>100</v>
      </c>
      <c r="D164" s="192">
        <f t="shared" si="10"/>
        <v>3300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135</v>
      </c>
      <c r="B165" s="185">
        <f>'Données projet'!D158</f>
        <v>29</v>
      </c>
      <c r="C165" s="202">
        <v>110</v>
      </c>
      <c r="D165" s="192">
        <f t="shared" si="10"/>
        <v>3190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150</v>
      </c>
      <c r="B166" s="185">
        <f>'Données projet'!D159</f>
        <v>306</v>
      </c>
      <c r="C166" s="202">
        <v>120</v>
      </c>
      <c r="D166" s="192">
        <f t="shared" si="10"/>
        <v>36720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4" t="str">
        <f>IF('Données projet'!B14="","",'Données projet'!B14)</f>
        <v>Erable sycomore</v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0">
        <f>'Données projet'!A166</f>
        <v>15</v>
      </c>
      <c r="B178" s="191">
        <f>'Données projet'!D166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0">
        <f>'Données projet'!A167</f>
        <v>20</v>
      </c>
      <c r="B179" s="191">
        <f>'Données projet'!D167</f>
        <v>0</v>
      </c>
      <c r="C179" s="204"/>
      <c r="D179" s="189">
        <f t="shared" ref="D179:D197" si="11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0">
        <f>'Données projet'!A168</f>
        <v>25</v>
      </c>
      <c r="B180" s="191">
        <f>'Données projet'!D168</f>
        <v>71.099999999999994</v>
      </c>
      <c r="C180" s="204">
        <v>10</v>
      </c>
      <c r="D180" s="189">
        <f t="shared" si="11"/>
        <v>711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0">
        <f>'Données projet'!A169</f>
        <v>30</v>
      </c>
      <c r="B181" s="191">
        <f>'Données projet'!D169</f>
        <v>0</v>
      </c>
      <c r="C181" s="204"/>
      <c r="D181" s="189">
        <f t="shared" si="11"/>
        <v>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0">
        <f>'Données projet'!A170</f>
        <v>35</v>
      </c>
      <c r="B182" s="191">
        <f>'Données projet'!D170</f>
        <v>56</v>
      </c>
      <c r="C182" s="204">
        <v>10</v>
      </c>
      <c r="D182" s="189">
        <f t="shared" si="11"/>
        <v>560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0">
        <f>'Données projet'!A171</f>
        <v>40</v>
      </c>
      <c r="B183" s="191">
        <f>'Données projet'!D171</f>
        <v>0</v>
      </c>
      <c r="C183" s="204"/>
      <c r="D183" s="189">
        <f t="shared" si="11"/>
        <v>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0">
        <f>'Données projet'!A172</f>
        <v>45</v>
      </c>
      <c r="B184" s="191">
        <f>'Données projet'!D172</f>
        <v>49.8</v>
      </c>
      <c r="C184" s="204">
        <v>15</v>
      </c>
      <c r="D184" s="189">
        <f t="shared" si="11"/>
        <v>747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0">
        <f>'Données projet'!A173</f>
        <v>50</v>
      </c>
      <c r="B185" s="191">
        <f>'Données projet'!D173</f>
        <v>0</v>
      </c>
      <c r="C185" s="204"/>
      <c r="D185" s="189">
        <f t="shared" si="11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0">
        <f>'Données projet'!A174</f>
        <v>55</v>
      </c>
      <c r="B186" s="191">
        <f>'Données projet'!D174</f>
        <v>29.9</v>
      </c>
      <c r="C186" s="204">
        <v>20</v>
      </c>
      <c r="D186" s="189">
        <f t="shared" si="11"/>
        <v>598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0">
        <f>'Données projet'!A175</f>
        <v>60</v>
      </c>
      <c r="B187" s="191">
        <f>'Données projet'!D175</f>
        <v>0</v>
      </c>
      <c r="C187" s="204"/>
      <c r="D187" s="189">
        <f t="shared" si="11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0">
        <f>'Données projet'!A176</f>
        <v>65</v>
      </c>
      <c r="B188" s="191">
        <f>'Données projet'!D176</f>
        <v>22.700000000000003</v>
      </c>
      <c r="C188" s="204">
        <v>40</v>
      </c>
      <c r="D188" s="189">
        <f t="shared" si="11"/>
        <v>908.00000000000011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0">
        <f>'Données projet'!A177</f>
        <v>70</v>
      </c>
      <c r="B189" s="191">
        <f>'Données projet'!D177</f>
        <v>0</v>
      </c>
      <c r="C189" s="204"/>
      <c r="D189" s="189">
        <f t="shared" si="11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0">
        <f>'Données projet'!A178</f>
        <v>75</v>
      </c>
      <c r="B190" s="191">
        <f>'Données projet'!D178</f>
        <v>0</v>
      </c>
      <c r="C190" s="204"/>
      <c r="D190" s="189">
        <f t="shared" si="11"/>
        <v>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0">
        <f>'Données projet'!A179</f>
        <v>80</v>
      </c>
      <c r="B191" s="191">
        <f>'Données projet'!D179</f>
        <v>294.60000000000002</v>
      </c>
      <c r="C191" s="204">
        <v>100</v>
      </c>
      <c r="D191" s="189">
        <f t="shared" si="11"/>
        <v>29460.000000000004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0">
        <f>'Données projet'!A180</f>
        <v>0</v>
      </c>
      <c r="B192" s="191">
        <f>'Données projet'!D180</f>
        <v>0</v>
      </c>
      <c r="C192" s="204"/>
      <c r="D192" s="189">
        <f t="shared" si="11"/>
        <v>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0">
        <f>'Données projet'!A181</f>
        <v>0</v>
      </c>
      <c r="B193" s="191">
        <f>'Données projet'!D181</f>
        <v>0</v>
      </c>
      <c r="C193" s="204"/>
      <c r="D193" s="189">
        <f t="shared" si="11"/>
        <v>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0">
        <f>'Données projet'!A182</f>
        <v>0</v>
      </c>
      <c r="B194" s="191">
        <f>'Données projet'!D182</f>
        <v>0</v>
      </c>
      <c r="C194" s="204"/>
      <c r="D194" s="189">
        <f t="shared" si="11"/>
        <v>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0">
        <f>'Données projet'!A183</f>
        <v>0</v>
      </c>
      <c r="B195" s="191">
        <f>'Données projet'!D183</f>
        <v>0</v>
      </c>
      <c r="C195" s="204"/>
      <c r="D195" s="189">
        <f t="shared" si="11"/>
        <v>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0">
        <f>'Données projet'!A184</f>
        <v>0</v>
      </c>
      <c r="B196" s="191">
        <f>'Données projet'!D184</f>
        <v>0</v>
      </c>
      <c r="C196" s="204"/>
      <c r="D196" s="189">
        <f t="shared" si="11"/>
        <v>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0">
        <f>'Données projet'!A185</f>
        <v>0</v>
      </c>
      <c r="B197" s="191">
        <f>'Données projet'!D185</f>
        <v>0</v>
      </c>
      <c r="C197" s="204"/>
      <c r="D197" s="189">
        <f t="shared" si="11"/>
        <v>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4" t="str">
        <f>IF('Données projet'!$B$15="","",'Données projet'!$B$15)</f>
        <v>Erable plane</v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0">
        <f>'Données projet'!A192</f>
        <v>15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0">
        <f>'Données projet'!A193</f>
        <v>20</v>
      </c>
      <c r="B210" s="191">
        <f>'Données projet'!D193</f>
        <v>0</v>
      </c>
      <c r="C210" s="204"/>
      <c r="D210" s="189">
        <f t="shared" ref="D210:D228" si="12">B210*C210</f>
        <v>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0">
        <f>'Données projet'!A194</f>
        <v>25</v>
      </c>
      <c r="B211" s="191">
        <f>'Données projet'!D194</f>
        <v>42</v>
      </c>
      <c r="C211" s="204">
        <v>10</v>
      </c>
      <c r="D211" s="189">
        <f t="shared" si="12"/>
        <v>420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0">
        <f>'Données projet'!A195</f>
        <v>30</v>
      </c>
      <c r="B212" s="191">
        <f>'Données projet'!D195</f>
        <v>0</v>
      </c>
      <c r="C212" s="204"/>
      <c r="D212" s="189">
        <f t="shared" si="12"/>
        <v>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0">
        <f>'Données projet'!A196</f>
        <v>35</v>
      </c>
      <c r="B213" s="191">
        <f>'Données projet'!D196</f>
        <v>42</v>
      </c>
      <c r="C213" s="204">
        <v>10</v>
      </c>
      <c r="D213" s="189">
        <f t="shared" si="12"/>
        <v>420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0">
        <f>'Données projet'!A197</f>
        <v>40</v>
      </c>
      <c r="B214" s="191">
        <f>'Données projet'!D197</f>
        <v>0</v>
      </c>
      <c r="C214" s="204"/>
      <c r="D214" s="189">
        <f t="shared" si="12"/>
        <v>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0">
        <f>'Données projet'!A198</f>
        <v>45</v>
      </c>
      <c r="B215" s="191">
        <f>'Données projet'!D198</f>
        <v>39.299999999999997</v>
      </c>
      <c r="C215" s="204">
        <v>15</v>
      </c>
      <c r="D215" s="189">
        <f t="shared" si="12"/>
        <v>589.5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0">
        <f>'Données projet'!A199</f>
        <v>50</v>
      </c>
      <c r="B216" s="191">
        <f>'Données projet'!D199</f>
        <v>0</v>
      </c>
      <c r="C216" s="204"/>
      <c r="D216" s="189">
        <f t="shared" si="12"/>
        <v>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0">
        <f>'Données projet'!A200</f>
        <v>55</v>
      </c>
      <c r="B217" s="191">
        <f>'Données projet'!D200</f>
        <v>23.8</v>
      </c>
      <c r="C217" s="204">
        <v>20</v>
      </c>
      <c r="D217" s="189">
        <f t="shared" si="12"/>
        <v>476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0">
        <f>'Données projet'!A201</f>
        <v>60</v>
      </c>
      <c r="B218" s="191">
        <f>'Données projet'!D201</f>
        <v>0</v>
      </c>
      <c r="C218" s="204"/>
      <c r="D218" s="189">
        <f t="shared" si="12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0">
        <f>'Données projet'!A202</f>
        <v>65</v>
      </c>
      <c r="B219" s="191">
        <f>'Données projet'!D202</f>
        <v>17.700000000000003</v>
      </c>
      <c r="C219" s="204">
        <v>30</v>
      </c>
      <c r="D219" s="189">
        <f t="shared" si="12"/>
        <v>531.00000000000011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0">
        <f>'Données projet'!A203</f>
        <v>70</v>
      </c>
      <c r="B220" s="191">
        <f>'Données projet'!D203</f>
        <v>0</v>
      </c>
      <c r="C220" s="204"/>
      <c r="D220" s="189">
        <f t="shared" si="12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0">
        <f>'Données projet'!A204</f>
        <v>75</v>
      </c>
      <c r="B221" s="191">
        <f>'Données projet'!D204</f>
        <v>0</v>
      </c>
      <c r="C221" s="204"/>
      <c r="D221" s="189">
        <f t="shared" si="12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0">
        <f>'Données projet'!A205</f>
        <v>80</v>
      </c>
      <c r="B222" s="191">
        <f>'Données projet'!D205</f>
        <v>232.89999999999998</v>
      </c>
      <c r="C222" s="204">
        <v>60</v>
      </c>
      <c r="D222" s="189">
        <f t="shared" si="12"/>
        <v>13973.999999999998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0">
        <f>'Données projet'!A206</f>
        <v>0</v>
      </c>
      <c r="B223" s="191">
        <f>'Données projet'!D206</f>
        <v>0</v>
      </c>
      <c r="C223" s="204"/>
      <c r="D223" s="189">
        <f t="shared" si="12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0">
        <f>'Données projet'!A207</f>
        <v>0</v>
      </c>
      <c r="B224" s="191">
        <f>'Données projet'!D207</f>
        <v>0</v>
      </c>
      <c r="C224" s="204"/>
      <c r="D224" s="189">
        <f t="shared" si="12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0">
        <f>'Données projet'!A208</f>
        <v>0</v>
      </c>
      <c r="B225" s="191">
        <f>'Données projet'!D208</f>
        <v>0</v>
      </c>
      <c r="C225" s="204"/>
      <c r="D225" s="189">
        <f t="shared" si="12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0">
        <f>'Données projet'!A209</f>
        <v>0</v>
      </c>
      <c r="B226" s="191">
        <f>'Données projet'!D209</f>
        <v>0</v>
      </c>
      <c r="C226" s="204"/>
      <c r="D226" s="189">
        <f t="shared" si="12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0">
        <f>'Données projet'!A210</f>
        <v>0</v>
      </c>
      <c r="B227" s="191">
        <f>'Données projet'!D210</f>
        <v>0</v>
      </c>
      <c r="C227" s="204"/>
      <c r="D227" s="189">
        <f t="shared" si="12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0">
        <f>'Données projet'!A211</f>
        <v>0</v>
      </c>
      <c r="B228" s="191">
        <f>'Données projet'!D211</f>
        <v>0</v>
      </c>
      <c r="C228" s="204"/>
      <c r="D228" s="189">
        <f t="shared" si="12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4" t="str">
        <f>IF('Données projet'!$B$16="","",'Données projet'!$B$16)</f>
        <v>Erable champêtre</v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0">
        <f>'Données projet'!A218</f>
        <v>15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0">
        <f>'Données projet'!A219</f>
        <v>20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0">
        <f>'Données projet'!A220</f>
        <v>25</v>
      </c>
      <c r="B242" s="191">
        <f>'Données projet'!D220</f>
        <v>42</v>
      </c>
      <c r="C242" s="204">
        <v>10</v>
      </c>
      <c r="D242" s="189">
        <f t="shared" si="13"/>
        <v>420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0">
        <f>'Données projet'!A221</f>
        <v>30</v>
      </c>
      <c r="B243" s="191">
        <f>'Données projet'!D221</f>
        <v>0</v>
      </c>
      <c r="C243" s="204"/>
      <c r="D243" s="189">
        <f t="shared" si="13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0">
        <f>'Données projet'!A222</f>
        <v>35</v>
      </c>
      <c r="B244" s="191">
        <f>'Données projet'!D222</f>
        <v>42</v>
      </c>
      <c r="C244" s="204">
        <v>10</v>
      </c>
      <c r="D244" s="189">
        <f t="shared" si="13"/>
        <v>420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0">
        <f>'Données projet'!A223</f>
        <v>40</v>
      </c>
      <c r="B245" s="191">
        <f>'Données projet'!D223</f>
        <v>0</v>
      </c>
      <c r="C245" s="204"/>
      <c r="D245" s="189">
        <f t="shared" si="13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0">
        <f>'Données projet'!A224</f>
        <v>45</v>
      </c>
      <c r="B246" s="191">
        <f>'Données projet'!D224</f>
        <v>39.299999999999997</v>
      </c>
      <c r="C246" s="204">
        <v>15</v>
      </c>
      <c r="D246" s="189">
        <f t="shared" si="13"/>
        <v>589.5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0">
        <f>'Données projet'!A225</f>
        <v>50</v>
      </c>
      <c r="B247" s="191">
        <f>'Données projet'!D225</f>
        <v>0</v>
      </c>
      <c r="C247" s="204"/>
      <c r="D247" s="189">
        <f t="shared" si="13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0">
        <f>'Données projet'!A226</f>
        <v>55</v>
      </c>
      <c r="B248" s="191">
        <f>'Données projet'!D226</f>
        <v>23.8</v>
      </c>
      <c r="C248" s="204">
        <v>20</v>
      </c>
      <c r="D248" s="189">
        <f t="shared" si="13"/>
        <v>476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0">
        <f>'Données projet'!A227</f>
        <v>60</v>
      </c>
      <c r="B249" s="191">
        <f>'Données projet'!D227</f>
        <v>0</v>
      </c>
      <c r="C249" s="204"/>
      <c r="D249" s="189">
        <f t="shared" si="13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0">
        <f>'Données projet'!A228</f>
        <v>65</v>
      </c>
      <c r="B250" s="191">
        <f>'Données projet'!D228</f>
        <v>17.700000000000003</v>
      </c>
      <c r="C250" s="204">
        <v>30</v>
      </c>
      <c r="D250" s="189">
        <f t="shared" si="13"/>
        <v>531.00000000000011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0">
        <f>'Données projet'!A229</f>
        <v>70</v>
      </c>
      <c r="B251" s="191">
        <f>'Données projet'!D229</f>
        <v>0</v>
      </c>
      <c r="C251" s="204"/>
      <c r="D251" s="189">
        <f t="shared" si="13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0">
        <f>'Données projet'!A230</f>
        <v>75</v>
      </c>
      <c r="B252" s="191">
        <f>'Données projet'!D230</f>
        <v>0</v>
      </c>
      <c r="C252" s="204"/>
      <c r="D252" s="189">
        <f t="shared" si="13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0">
        <f>'Données projet'!A231</f>
        <v>80</v>
      </c>
      <c r="B253" s="191">
        <f>'Données projet'!D231</f>
        <v>232.89999999999998</v>
      </c>
      <c r="C253" s="204">
        <v>60</v>
      </c>
      <c r="D253" s="189">
        <f t="shared" si="13"/>
        <v>13973.999999999998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0">
        <f>'Données projet'!A232</f>
        <v>0</v>
      </c>
      <c r="B254" s="191">
        <f>'Données projet'!D232</f>
        <v>0</v>
      </c>
      <c r="C254" s="204"/>
      <c r="D254" s="189">
        <f t="shared" si="13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0">
        <f>'Données projet'!A233</f>
        <v>0</v>
      </c>
      <c r="B255" s="191">
        <f>'Données projet'!D233</f>
        <v>0</v>
      </c>
      <c r="C255" s="204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0">
        <f>'Données projet'!A234</f>
        <v>0</v>
      </c>
      <c r="B256" s="191">
        <f>'Données projet'!D234</f>
        <v>0</v>
      </c>
      <c r="C256" s="204"/>
      <c r="D256" s="189">
        <f t="shared" si="13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0">
        <f>'Données projet'!A235</f>
        <v>0</v>
      </c>
      <c r="B257" s="191">
        <f>'Données projet'!D235</f>
        <v>0</v>
      </c>
      <c r="C257" s="204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0">
        <f>'Données projet'!A236</f>
        <v>0</v>
      </c>
      <c r="B258" s="191">
        <f>'Données projet'!D236</f>
        <v>0</v>
      </c>
      <c r="C258" s="204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4" t="str">
        <f>IF('Données projet'!$B$17="","",'Données projet'!$B$17)</f>
        <v>Hêtre</v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0">
        <f>'Données projet'!A244</f>
        <v>18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0">
        <f>'Données projet'!A245</f>
        <v>21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0">
        <f>'Données projet'!A246</f>
        <v>27</v>
      </c>
      <c r="B273" s="191">
        <f>'Données projet'!D246</f>
        <v>12</v>
      </c>
      <c r="C273" s="204">
        <v>10</v>
      </c>
      <c r="D273" s="189">
        <f t="shared" si="14"/>
        <v>120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0">
        <f>'Données projet'!A247</f>
        <v>30</v>
      </c>
      <c r="B274" s="191">
        <f>'Données projet'!D247</f>
        <v>13</v>
      </c>
      <c r="C274" s="204">
        <v>10</v>
      </c>
      <c r="D274" s="189">
        <f t="shared" si="14"/>
        <v>130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0">
        <f>'Données projet'!A248</f>
        <v>36</v>
      </c>
      <c r="B275" s="191">
        <f>'Données projet'!D248</f>
        <v>60</v>
      </c>
      <c r="C275" s="204">
        <v>10</v>
      </c>
      <c r="D275" s="189">
        <f t="shared" si="14"/>
        <v>600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0">
        <f>'Données projet'!A249</f>
        <v>42</v>
      </c>
      <c r="B276" s="191">
        <f>'Données projet'!D249</f>
        <v>59</v>
      </c>
      <c r="C276" s="204">
        <v>15</v>
      </c>
      <c r="D276" s="189">
        <f t="shared" si="14"/>
        <v>885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0">
        <f>'Données projet'!A250</f>
        <v>48</v>
      </c>
      <c r="B277" s="191">
        <f>'Données projet'!D250</f>
        <v>63</v>
      </c>
      <c r="C277" s="204">
        <v>20</v>
      </c>
      <c r="D277" s="189">
        <f t="shared" si="14"/>
        <v>1260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0">
        <f>'Données projet'!A251</f>
        <v>54</v>
      </c>
      <c r="B278" s="191">
        <f>'Données projet'!D251</f>
        <v>64</v>
      </c>
      <c r="C278" s="204">
        <v>30</v>
      </c>
      <c r="D278" s="189">
        <f t="shared" si="14"/>
        <v>1920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0">
        <f>'Données projet'!A252</f>
        <v>60</v>
      </c>
      <c r="B279" s="191">
        <f>'Données projet'!D252</f>
        <v>61</v>
      </c>
      <c r="C279" s="204">
        <v>40</v>
      </c>
      <c r="D279" s="189">
        <f t="shared" si="14"/>
        <v>2440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0">
        <f>'Données projet'!A253</f>
        <v>69</v>
      </c>
      <c r="B280" s="191">
        <f>'Données projet'!D253</f>
        <v>84</v>
      </c>
      <c r="C280" s="204">
        <v>50</v>
      </c>
      <c r="D280" s="189">
        <f t="shared" si="14"/>
        <v>4200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0">
        <f>'Données projet'!A254</f>
        <v>78</v>
      </c>
      <c r="B281" s="191">
        <f>'Données projet'!D254</f>
        <v>39</v>
      </c>
      <c r="C281" s="204">
        <v>60</v>
      </c>
      <c r="D281" s="189">
        <f t="shared" si="14"/>
        <v>2340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0">
        <f>'Données projet'!A255</f>
        <v>84</v>
      </c>
      <c r="B282" s="191">
        <f>'Données projet'!D255</f>
        <v>0</v>
      </c>
      <c r="C282" s="204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0">
        <f>'Données projet'!A256</f>
        <v>90</v>
      </c>
      <c r="B283" s="191">
        <f>'Données projet'!D256</f>
        <v>0</v>
      </c>
      <c r="C283" s="204"/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0">
        <f>'Données projet'!A257</f>
        <v>96</v>
      </c>
      <c r="B284" s="191">
        <f>'Données projet'!D257</f>
        <v>0</v>
      </c>
      <c r="C284" s="204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0">
        <f>'Données projet'!A258</f>
        <v>99</v>
      </c>
      <c r="B285" s="191">
        <f>'Données projet'!D258</f>
        <v>591</v>
      </c>
      <c r="C285" s="204">
        <v>80</v>
      </c>
      <c r="D285" s="189">
        <f t="shared" si="14"/>
        <v>47280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0">
        <f>'Données projet'!A259</f>
        <v>0</v>
      </c>
      <c r="B286" s="191">
        <f>'Données projet'!D259</f>
        <v>0</v>
      </c>
      <c r="C286" s="204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0">
        <f>'Données projet'!A260</f>
        <v>0</v>
      </c>
      <c r="B287" s="191">
        <f>'Données projet'!D260</f>
        <v>0</v>
      </c>
      <c r="C287" s="204"/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0">
        <f>'Données projet'!A261</f>
        <v>0</v>
      </c>
      <c r="B288" s="191">
        <f>'Données projet'!D261</f>
        <v>0</v>
      </c>
      <c r="C288" s="204"/>
      <c r="D288" s="189">
        <f t="shared" si="14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0">
        <f>'Données projet'!A262</f>
        <v>0</v>
      </c>
      <c r="B289" s="191">
        <f>'Données projet'!D262</f>
        <v>0</v>
      </c>
      <c r="C289" s="204"/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0">
        <f>'Données projet'!A263</f>
        <v>0</v>
      </c>
      <c r="B290" s="191">
        <f>'Données projet'!D263</f>
        <v>0</v>
      </c>
      <c r="C290" s="204"/>
      <c r="D290" s="189">
        <f t="shared" si="14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4" t="str">
        <f>IF('Données projet'!$B$18="","",'Données projet'!$B$18)</f>
        <v>Merisier</v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0">
        <f>'Données projet'!A270</f>
        <v>15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0">
        <f>'Données projet'!A271</f>
        <v>20</v>
      </c>
      <c r="B303" s="191">
        <f>'Données projet'!D271</f>
        <v>28</v>
      </c>
      <c r="C303" s="202">
        <v>10</v>
      </c>
      <c r="D303" s="192">
        <f t="shared" ref="D303:D321" si="15">B303*C303</f>
        <v>280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0">
        <f>'Données projet'!A272</f>
        <v>25</v>
      </c>
      <c r="B304" s="191">
        <f>'Données projet'!D272</f>
        <v>27</v>
      </c>
      <c r="C304" s="202">
        <v>10</v>
      </c>
      <c r="D304" s="192">
        <f t="shared" si="15"/>
        <v>270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0">
        <f>'Données projet'!A273</f>
        <v>31</v>
      </c>
      <c r="B305" s="191">
        <f>'Données projet'!D273</f>
        <v>36</v>
      </c>
      <c r="C305" s="202">
        <v>15</v>
      </c>
      <c r="D305" s="192">
        <f t="shared" si="15"/>
        <v>540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0">
        <f>'Données projet'!A274</f>
        <v>37</v>
      </c>
      <c r="B306" s="191">
        <f>'Données projet'!D274</f>
        <v>36</v>
      </c>
      <c r="C306" s="202">
        <v>20</v>
      </c>
      <c r="D306" s="192">
        <f t="shared" si="15"/>
        <v>720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0">
        <f>'Données projet'!A275</f>
        <v>44</v>
      </c>
      <c r="B307" s="191">
        <f>'Données projet'!D275</f>
        <v>43</v>
      </c>
      <c r="C307" s="202">
        <v>40</v>
      </c>
      <c r="D307" s="192">
        <f t="shared" si="15"/>
        <v>1720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0">
        <f>'Données projet'!A276</f>
        <v>52</v>
      </c>
      <c r="B308" s="191">
        <f>'Données projet'!D276</f>
        <v>48</v>
      </c>
      <c r="C308" s="202">
        <v>50</v>
      </c>
      <c r="D308" s="192">
        <f t="shared" si="15"/>
        <v>2400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0">
        <f>'Données projet'!A277</f>
        <v>60</v>
      </c>
      <c r="B309" s="191">
        <f>'Données projet'!D277</f>
        <v>47</v>
      </c>
      <c r="C309" s="202">
        <v>80</v>
      </c>
      <c r="D309" s="192">
        <f t="shared" si="15"/>
        <v>3760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0">
        <f>'Données projet'!A278</f>
        <v>69</v>
      </c>
      <c r="B310" s="191">
        <f>'Données projet'!D278</f>
        <v>328</v>
      </c>
      <c r="C310" s="202">
        <v>90</v>
      </c>
      <c r="D310" s="192">
        <f t="shared" si="15"/>
        <v>29520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9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9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9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9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9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9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9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9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9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9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9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9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9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9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9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9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9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9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9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9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9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9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9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9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9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9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Camille STOUFF</cp:lastModifiedBy>
  <dcterms:created xsi:type="dcterms:W3CDTF">2021-02-01T08:22:39Z</dcterms:created>
  <dcterms:modified xsi:type="dcterms:W3CDTF">2022-05-13T15:43:27Z</dcterms:modified>
</cp:coreProperties>
</file>