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CFBL\Projets_LBC\Projet Montboucher_022022\"/>
    </mc:Choice>
  </mc:AlternateContent>
  <bookViews>
    <workbookView xWindow="0" yWindow="0" windowWidth="23040" windowHeight="9384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E48" i="6"/>
  <c r="E17" i="6"/>
  <c r="E110" i="6"/>
  <c r="E79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126" i="2" a="1"/>
  <c r="BC126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1" i="2" a="1"/>
  <c r="BC31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8" i="2" l="1" a="1"/>
  <c r="BC18" i="2" s="1"/>
  <c r="BC84" i="2" a="1"/>
  <c r="BC84" i="2" s="1"/>
  <c r="BC65" i="2" a="1"/>
  <c r="BC65" i="2" s="1"/>
  <c r="BC38" i="2" a="1"/>
  <c r="BC38" i="2" s="1"/>
  <c r="BC32" i="2" a="1"/>
  <c r="BC32" i="2" s="1"/>
  <c r="BC114" i="2" a="1"/>
  <c r="BC114" i="2" s="1"/>
  <c r="BC151" i="2" a="1"/>
  <c r="BC151" i="2" s="1"/>
  <c r="BC192" i="2" a="1"/>
  <c r="BC192" i="2" s="1"/>
  <c r="BC82" i="2" a="1"/>
  <c r="BC82" i="2" s="1"/>
  <c r="BC47" i="2" a="1"/>
  <c r="BC47" i="2" s="1"/>
  <c r="BC7" i="2" a="1"/>
  <c r="BC7" i="2" s="1"/>
  <c r="BC185" i="2" a="1"/>
  <c r="BC185" i="2" s="1"/>
  <c r="BC130" i="2" a="1"/>
  <c r="BC130" i="2" s="1"/>
  <c r="BC68" i="2" a="1"/>
  <c r="BC68" i="2" s="1"/>
  <c r="BC55" i="2" a="1"/>
  <c r="BC55" i="2" s="1"/>
  <c r="BC143" i="2" a="1"/>
  <c r="BC143" i="2" s="1"/>
  <c r="BC117" i="2" a="1"/>
  <c r="BC117" i="2" s="1"/>
  <c r="BC58" i="2" a="1"/>
  <c r="BC58" i="2" s="1"/>
  <c r="BX107" i="2" a="1"/>
  <c r="BX107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<sst xmlns="http://schemas.openxmlformats.org/spreadsheetml/2006/main" count="1173" uniqueCount="324">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</sst>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1.982352863799117</c:v>
                </c:pt>
                <c:pt idx="2">
                  <c:v>2.7041057308945007</c:v>
                </c:pt>
                <c:pt idx="3">
                  <c:v>3.6897598621626138</c:v>
                </c:pt>
                <c:pt idx="4">
                  <c:v>5.0361933713659557</c:v>
                </c:pt>
                <c:pt idx="5">
                  <c:v>6.8759805040375204</c:v>
                </c:pt>
                <c:pt idx="6">
                  <c:v>9.3905895478669326</c:v>
                </c:pt>
                <c:pt idx="7">
                  <c:v>12.828475768451668</c:v>
                </c:pt>
                <c:pt idx="8">
                  <c:v>17.529890118883106</c:v>
                </c:pt>
                <c:pt idx="9">
                  <c:v>23.960903477957146</c:v>
                </c:pt>
                <c:pt idx="10">
                  <c:v>32.760078992205301</c:v>
                </c:pt>
                <c:pt idx="11">
                  <c:v>44.802506807548788</c:v>
                </c:pt>
                <c:pt idx="12">
                  <c:v>61.287676834867518</c:v>
                </c:pt>
                <c:pt idx="13">
                  <c:v>83.860086052946073</c:v>
                </c:pt>
                <c:pt idx="14">
                  <c:v>114.7748046235494</c:v>
                </c:pt>
                <c:pt idx="15">
                  <c:v>157.12480016409424</c:v>
                </c:pt>
                <c:pt idx="16">
                  <c:v>184.29256128746965</c:v>
                </c:pt>
                <c:pt idx="17">
                  <c:v>211.36660740261004</c:v>
                </c:pt>
                <c:pt idx="18">
                  <c:v>238.36063977122194</c:v>
                </c:pt>
                <c:pt idx="19">
                  <c:v>265.2849948651608</c:v>
                </c:pt>
                <c:pt idx="20">
                  <c:v>292.14773647529722</c:v>
                </c:pt>
                <c:pt idx="21">
                  <c:v>324.21508944014391</c:v>
                </c:pt>
                <c:pt idx="22">
                  <c:v>356.21233858420231</c:v>
                </c:pt>
                <c:pt idx="23">
                  <c:v>388.14665972088761</c:v>
                </c:pt>
                <c:pt idx="24">
                  <c:v>420.02395175079954</c:v>
                </c:pt>
                <c:pt idx="25">
                  <c:v>451.84914558797823</c:v>
                </c:pt>
                <c:pt idx="26">
                  <c:v>458.49300619252995</c:v>
                </c:pt>
                <c:pt idx="27">
                  <c:v>490.02383273307811</c:v>
                </c:pt>
                <c:pt idx="28">
                  <c:v>521.51163942471965</c:v>
                </c:pt>
                <c:pt idx="29">
                  <c:v>552.95938498824523</c:v>
                </c:pt>
                <c:pt idx="30">
                  <c:v>584.369664578075</c:v>
                </c:pt>
                <c:pt idx="31">
                  <c:v>556.73999981392387</c:v>
                </c:pt>
                <c:pt idx="32">
                  <c:v>585.7858243463188</c:v>
                </c:pt>
                <c:pt idx="33">
                  <c:v>614.8016526190205</c:v>
                </c:pt>
                <c:pt idx="34">
                  <c:v>643.78909731180499</c:v>
                </c:pt>
                <c:pt idx="35">
                  <c:v>672.74961423997343</c:v>
                </c:pt>
                <c:pt idx="36">
                  <c:v>626.58850499642801</c:v>
                </c:pt>
                <c:pt idx="37">
                  <c:v>652.26807215377346</c:v>
                </c:pt>
                <c:pt idx="38">
                  <c:v>677.92680823930084</c:v>
                </c:pt>
                <c:pt idx="39">
                  <c:v>703.56561153811811</c:v>
                </c:pt>
                <c:pt idx="40">
                  <c:v>729.18530961737713</c:v>
                </c:pt>
                <c:pt idx="41">
                  <c:v>677.22087519835191</c:v>
                </c:pt>
                <c:pt idx="42">
                  <c:v>700.50879164342575</c:v>
                </c:pt>
                <c:pt idx="43">
                  <c:v>723.78086979282034</c:v>
                </c:pt>
                <c:pt idx="44">
                  <c:v>747.03768992547487</c:v>
                </c:pt>
                <c:pt idx="45">
                  <c:v>770.27979329125412</c:v>
                </c:pt>
                <c:pt idx="46">
                  <c:v>709.44334887873481</c:v>
                </c:pt>
                <c:pt idx="47">
                  <c:v>730.82997676459456</c:v>
                </c:pt>
                <c:pt idx="48">
                  <c:v>752.20385526189159</c:v>
                </c:pt>
                <c:pt idx="49">
                  <c:v>773.56539720897001</c:v>
                </c:pt>
                <c:pt idx="50">
                  <c:v>794.91499081298514</c:v>
                </c:pt>
                <c:pt idx="51">
                  <c:v>729.18530961737713</c:v>
                </c:pt>
                <c:pt idx="52">
                  <c:v>749.15120869876137</c:v>
                </c:pt>
                <c:pt idx="53">
                  <c:v>769.10629453334388</c:v>
                </c:pt>
                <c:pt idx="54">
                  <c:v>789.05088686316742</c:v>
                </c:pt>
                <c:pt idx="55">
                  <c:v>808.98528796749042</c:v>
                </c:pt>
                <c:pt idx="56">
                  <c:v>748.91637927235524</c:v>
                </c:pt>
                <c:pt idx="57">
                  <c:v>767.46333526620492</c:v>
                </c:pt>
                <c:pt idx="58">
                  <c:v>786.00120491902635</c:v>
                </c:pt>
                <c:pt idx="59">
                  <c:v>804.53023248127863</c:v>
                </c:pt>
                <c:pt idx="60">
                  <c:v>823.05065004816288</c:v>
                </c:pt>
                <c:pt idx="61">
                  <c:v>768.87159042722215</c:v>
                </c:pt>
                <c:pt idx="62">
                  <c:v>786.23580432399649</c:v>
                </c:pt>
                <c:pt idx="63">
                  <c:v>803.59226271431351</c:v>
                </c:pt>
                <c:pt idx="64">
                  <c:v>820.9411565268183</c:v>
                </c:pt>
                <c:pt idx="65">
                  <c:v>838.28266797111394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31648"/>
        <c:axId val="1142830560"/>
      </c:scatterChart>
      <c:valAx>
        <c:axId val="1142831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0560"/>
        <c:crosses val="autoZero"/>
        <c:crossBetween val="midCat"/>
      </c:valAx>
      <c:valAx>
        <c:axId val="114283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1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26752"/>
        <c:axId val="801350160"/>
      </c:scatterChart>
      <c:valAx>
        <c:axId val="1142826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1350160"/>
        <c:crosses val="autoZero"/>
        <c:crossBetween val="midCat"/>
      </c:valAx>
      <c:valAx>
        <c:axId val="80135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6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33280"/>
        <c:axId val="1142833824"/>
      </c:scatterChart>
      <c:valAx>
        <c:axId val="1142833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3824"/>
        <c:crosses val="autoZero"/>
        <c:crossBetween val="midCat"/>
      </c:valAx>
      <c:valAx>
        <c:axId val="114283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1.5704572953895124</c:v>
                </c:pt>
                <c:pt idx="2">
                  <c:v>2.0130091502929965</c:v>
                </c:pt>
                <c:pt idx="3">
                  <c:v>2.5807791070817112</c:v>
                </c:pt>
                <c:pt idx="4">
                  <c:v>3.3093329195110086</c:v>
                </c:pt>
                <c:pt idx="5">
                  <c:v>4.2443742876571653</c:v>
                </c:pt>
                <c:pt idx="6">
                  <c:v>5.444644263301547</c:v>
                </c:pt>
                <c:pt idx="7">
                  <c:v>6.9856524115024001</c:v>
                </c:pt>
                <c:pt idx="8">
                  <c:v>8.9644790047272576</c:v>
                </c:pt>
                <c:pt idx="9">
                  <c:v>11.505956535902859</c:v>
                </c:pt>
                <c:pt idx="10">
                  <c:v>14.770627796063126</c:v>
                </c:pt>
                <c:pt idx="11">
                  <c:v>18.964992449920519</c:v>
                </c:pt>
                <c:pt idx="12">
                  <c:v>24.354701914846043</c:v>
                </c:pt>
                <c:pt idx="13">
                  <c:v>31.281553026413842</c:v>
                </c:pt>
                <c:pt idx="14">
                  <c:v>40.185376872193338</c:v>
                </c:pt>
                <c:pt idx="15">
                  <c:v>51.632236317450122</c:v>
                </c:pt>
                <c:pt idx="16">
                  <c:v>66.350754811399838</c:v>
                </c:pt>
                <c:pt idx="17">
                  <c:v>85.278926742765123</c:v>
                </c:pt>
                <c:pt idx="18">
                  <c:v>109.62444036403467</c:v>
                </c:pt>
                <c:pt idx="19">
                  <c:v>95.575602996049398</c:v>
                </c:pt>
                <c:pt idx="20">
                  <c:v>102.09197798314808</c:v>
                </c:pt>
                <c:pt idx="21">
                  <c:v>108.59805801791737</c:v>
                </c:pt>
                <c:pt idx="22">
                  <c:v>115.09454819968727</c:v>
                </c:pt>
                <c:pt idx="23">
                  <c:v>121.58206732519072</c:v>
                </c:pt>
                <c:pt idx="24">
                  <c:v>128.06116259946734</c:v>
                </c:pt>
                <c:pt idx="25">
                  <c:v>134.53232120499612</c:v>
                </c:pt>
                <c:pt idx="26">
                  <c:v>140.99597952220589</c:v>
                </c:pt>
                <c:pt idx="27">
                  <c:v>147.45253056632168</c:v>
                </c:pt>
                <c:pt idx="28">
                  <c:v>123.85636725531405</c:v>
                </c:pt>
                <c:pt idx="29">
                  <c:v>130.90034033693689</c:v>
                </c:pt>
                <c:pt idx="30">
                  <c:v>137.935155713125</c:v>
                </c:pt>
                <c:pt idx="31">
                  <c:v>144.96134716666668</c:v>
                </c:pt>
                <c:pt idx="32">
                  <c:v>151.97939240324109</c:v>
                </c:pt>
                <c:pt idx="33">
                  <c:v>158.98972131892458</c:v>
                </c:pt>
                <c:pt idx="34">
                  <c:v>165.99272272992371</c:v>
                </c:pt>
                <c:pt idx="35">
                  <c:v>172.98874990477884</c:v>
                </c:pt>
                <c:pt idx="36">
                  <c:v>179.97812515299574</c:v>
                </c:pt>
                <c:pt idx="37">
                  <c:v>146.43353271796309</c:v>
                </c:pt>
                <c:pt idx="38">
                  <c:v>153.56302988078724</c:v>
                </c:pt>
                <c:pt idx="39">
                  <c:v>160.68465382913146</c:v>
                </c:pt>
                <c:pt idx="40">
                  <c:v>167.79880331835713</c:v>
                </c:pt>
                <c:pt idx="41">
                  <c:v>174.90584046860872</c:v>
                </c:pt>
                <c:pt idx="42">
                  <c:v>182.00609551607818</c:v>
                </c:pt>
                <c:pt idx="43">
                  <c:v>189.09987078266826</c:v>
                </c:pt>
                <c:pt idx="44">
                  <c:v>196.18744401776067</c:v>
                </c:pt>
                <c:pt idx="45">
                  <c:v>203.26907123098991</c:v>
                </c:pt>
                <c:pt idx="46">
                  <c:v>170.28141648853304</c:v>
                </c:pt>
                <c:pt idx="47">
                  <c:v>177.83690852831276</c:v>
                </c:pt>
                <c:pt idx="48">
                  <c:v>185.38487428970882</c:v>
                </c:pt>
                <c:pt idx="49">
                  <c:v>192.92566388110376</c:v>
                </c:pt>
                <c:pt idx="50">
                  <c:v>200.45959776376495</c:v>
                </c:pt>
                <c:pt idx="51">
                  <c:v>207.9869703071802</c:v>
                </c:pt>
                <c:pt idx="52">
                  <c:v>215.50805280197096</c:v>
                </c:pt>
                <c:pt idx="53">
                  <c:v>223.02309602958439</c:v>
                </c:pt>
                <c:pt idx="54">
                  <c:v>230.53233246702442</c:v>
                </c:pt>
                <c:pt idx="55">
                  <c:v>188.08686026278508</c:v>
                </c:pt>
                <c:pt idx="56">
                  <c:v>196.18744401776087</c:v>
                </c:pt>
                <c:pt idx="57">
                  <c:v>204.2802608972855</c:v>
                </c:pt>
                <c:pt idx="58">
                  <c:v>212.36566238676059</c:v>
                </c:pt>
                <c:pt idx="59">
                  <c:v>220.44397098530536</c:v>
                </c:pt>
                <c:pt idx="60">
                  <c:v>228.51548359441412</c:v>
                </c:pt>
                <c:pt idx="61">
                  <c:v>1.2314189815084623E-12</c:v>
                </c:pt>
                <c:pt idx="62">
                  <c:v>1.2314189815084623E-12</c:v>
                </c:pt>
                <c:pt idx="63">
                  <c:v>1.2314189815084623E-12</c:v>
                </c:pt>
                <c:pt idx="64">
                  <c:v>1.2314189815084623E-12</c:v>
                </c:pt>
                <c:pt idx="65">
                  <c:v>1.2314189815084623E-12</c:v>
                </c:pt>
                <c:pt idx="66">
                  <c:v>1.2314189815084623E-12</c:v>
                </c:pt>
                <c:pt idx="67">
                  <c:v>1.2314189815084623E-12</c:v>
                </c:pt>
                <c:pt idx="68">
                  <c:v>1.2314189815084623E-12</c:v>
                </c:pt>
                <c:pt idx="69">
                  <c:v>1.2314189815084623E-12</c:v>
                </c:pt>
                <c:pt idx="70">
                  <c:v>1.2314189815084623E-12</c:v>
                </c:pt>
                <c:pt idx="71">
                  <c:v>1.2314189815084623E-12</c:v>
                </c:pt>
                <c:pt idx="72">
                  <c:v>1.2314189815084623E-12</c:v>
                </c:pt>
                <c:pt idx="73">
                  <c:v>1.2314189815084623E-12</c:v>
                </c:pt>
                <c:pt idx="74">
                  <c:v>1.2314189815084623E-12</c:v>
                </c:pt>
                <c:pt idx="75">
                  <c:v>1.2314189815084623E-12</c:v>
                </c:pt>
                <c:pt idx="76">
                  <c:v>1.2314189815084623E-12</c:v>
                </c:pt>
                <c:pt idx="77">
                  <c:v>1.2314189815084623E-12</c:v>
                </c:pt>
                <c:pt idx="78">
                  <c:v>1.2314189815084623E-12</c:v>
                </c:pt>
                <c:pt idx="79">
                  <c:v>1.2314189815084623E-12</c:v>
                </c:pt>
                <c:pt idx="80">
                  <c:v>1.2314189815084623E-12</c:v>
                </c:pt>
                <c:pt idx="81">
                  <c:v>1.2314189815084623E-12</c:v>
                </c:pt>
                <c:pt idx="82">
                  <c:v>1.2314189815084623E-12</c:v>
                </c:pt>
                <c:pt idx="83">
                  <c:v>1.2314189815084623E-12</c:v>
                </c:pt>
                <c:pt idx="84">
                  <c:v>1.2314189815084623E-12</c:v>
                </c:pt>
                <c:pt idx="85">
                  <c:v>1.2314189815084623E-12</c:v>
                </c:pt>
                <c:pt idx="86">
                  <c:v>1.2314189815084623E-12</c:v>
                </c:pt>
                <c:pt idx="87">
                  <c:v>1.2314189815084623E-12</c:v>
                </c:pt>
                <c:pt idx="88">
                  <c:v>1.2314189815084623E-12</c:v>
                </c:pt>
                <c:pt idx="89">
                  <c:v>1.2314189815084623E-12</c:v>
                </c:pt>
                <c:pt idx="90">
                  <c:v>1.2314189815084623E-12</c:v>
                </c:pt>
                <c:pt idx="91">
                  <c:v>1.2314189815084623E-12</c:v>
                </c:pt>
                <c:pt idx="92">
                  <c:v>1.2314189815084623E-12</c:v>
                </c:pt>
                <c:pt idx="93">
                  <c:v>1.2314189815084623E-12</c:v>
                </c:pt>
                <c:pt idx="94">
                  <c:v>1.2314189815084623E-12</c:v>
                </c:pt>
                <c:pt idx="95">
                  <c:v>1.2314189815084623E-12</c:v>
                </c:pt>
                <c:pt idx="96">
                  <c:v>1.2314189815084623E-12</c:v>
                </c:pt>
                <c:pt idx="97">
                  <c:v>1.2314189815084623E-12</c:v>
                </c:pt>
                <c:pt idx="98">
                  <c:v>1.2314189815084623E-12</c:v>
                </c:pt>
                <c:pt idx="99">
                  <c:v>1.2314189815084623E-12</c:v>
                </c:pt>
                <c:pt idx="100">
                  <c:v>1.2314189815084623E-12</c:v>
                </c:pt>
                <c:pt idx="101">
                  <c:v>1.2314189815084623E-12</c:v>
                </c:pt>
                <c:pt idx="102">
                  <c:v>1.2314189815084623E-12</c:v>
                </c:pt>
                <c:pt idx="103">
                  <c:v>1.2314189815084623E-12</c:v>
                </c:pt>
                <c:pt idx="104">
                  <c:v>1.2314189815084623E-12</c:v>
                </c:pt>
                <c:pt idx="105">
                  <c:v>1.2314189815084623E-12</c:v>
                </c:pt>
                <c:pt idx="106">
                  <c:v>1.2314189815084623E-12</c:v>
                </c:pt>
                <c:pt idx="107">
                  <c:v>1.2314189815084623E-12</c:v>
                </c:pt>
                <c:pt idx="108">
                  <c:v>1.2314189815084623E-12</c:v>
                </c:pt>
                <c:pt idx="109">
                  <c:v>1.2314189815084623E-12</c:v>
                </c:pt>
                <c:pt idx="110">
                  <c:v>1.2314189815084623E-12</c:v>
                </c:pt>
                <c:pt idx="111">
                  <c:v>1.2314189815084623E-12</c:v>
                </c:pt>
                <c:pt idx="112">
                  <c:v>1.2314189815084623E-12</c:v>
                </c:pt>
                <c:pt idx="113">
                  <c:v>1.2314189815084623E-12</c:v>
                </c:pt>
                <c:pt idx="114">
                  <c:v>1.2314189815084623E-12</c:v>
                </c:pt>
                <c:pt idx="115">
                  <c:v>1.2314189815084623E-12</c:v>
                </c:pt>
                <c:pt idx="116">
                  <c:v>1.2314189815084623E-12</c:v>
                </c:pt>
                <c:pt idx="117">
                  <c:v>1.2314189815084623E-12</c:v>
                </c:pt>
                <c:pt idx="118">
                  <c:v>1.2314189815084623E-12</c:v>
                </c:pt>
                <c:pt idx="119">
                  <c:v>1.2314189815084623E-12</c:v>
                </c:pt>
                <c:pt idx="120">
                  <c:v>1.2314189815084623E-12</c:v>
                </c:pt>
                <c:pt idx="121">
                  <c:v>1.2314189815084623E-12</c:v>
                </c:pt>
                <c:pt idx="122">
                  <c:v>1.2314189815084623E-12</c:v>
                </c:pt>
                <c:pt idx="123">
                  <c:v>1.2314189815084623E-12</c:v>
                </c:pt>
                <c:pt idx="124">
                  <c:v>1.2314189815084623E-12</c:v>
                </c:pt>
                <c:pt idx="125">
                  <c:v>1.2314189815084623E-12</c:v>
                </c:pt>
                <c:pt idx="126">
                  <c:v>1.2314189815084623E-12</c:v>
                </c:pt>
                <c:pt idx="127">
                  <c:v>1.2314189815084623E-12</c:v>
                </c:pt>
                <c:pt idx="128">
                  <c:v>1.2314189815084623E-12</c:v>
                </c:pt>
                <c:pt idx="129">
                  <c:v>1.2314189815084623E-12</c:v>
                </c:pt>
                <c:pt idx="130">
                  <c:v>1.2314189815084623E-12</c:v>
                </c:pt>
                <c:pt idx="131">
                  <c:v>1.2314189815084623E-12</c:v>
                </c:pt>
                <c:pt idx="132">
                  <c:v>1.2314189815084623E-12</c:v>
                </c:pt>
                <c:pt idx="133">
                  <c:v>1.2314189815084623E-12</c:v>
                </c:pt>
                <c:pt idx="134">
                  <c:v>1.2314189815084623E-12</c:v>
                </c:pt>
                <c:pt idx="135">
                  <c:v>1.2314189815084623E-12</c:v>
                </c:pt>
                <c:pt idx="136">
                  <c:v>1.2314189815084623E-12</c:v>
                </c:pt>
                <c:pt idx="137">
                  <c:v>1.2314189815084623E-12</c:v>
                </c:pt>
                <c:pt idx="138">
                  <c:v>1.2314189815084623E-12</c:v>
                </c:pt>
                <c:pt idx="139">
                  <c:v>1.2314189815084623E-12</c:v>
                </c:pt>
                <c:pt idx="140">
                  <c:v>1.2314189815084623E-12</c:v>
                </c:pt>
                <c:pt idx="141">
                  <c:v>1.2314189815084623E-12</c:v>
                </c:pt>
                <c:pt idx="142">
                  <c:v>1.2314189815084623E-12</c:v>
                </c:pt>
                <c:pt idx="143">
                  <c:v>1.2314189815084623E-12</c:v>
                </c:pt>
                <c:pt idx="144">
                  <c:v>1.2314189815084623E-12</c:v>
                </c:pt>
                <c:pt idx="145">
                  <c:v>1.2314189815084623E-12</c:v>
                </c:pt>
                <c:pt idx="146">
                  <c:v>1.2314189815084623E-12</c:v>
                </c:pt>
                <c:pt idx="147">
                  <c:v>1.2314189815084623E-12</c:v>
                </c:pt>
                <c:pt idx="148">
                  <c:v>1.2314189815084623E-12</c:v>
                </c:pt>
                <c:pt idx="149">
                  <c:v>1.2314189815084623E-12</c:v>
                </c:pt>
                <c:pt idx="150">
                  <c:v>1.2314189815084623E-12</c:v>
                </c:pt>
                <c:pt idx="151">
                  <c:v>1.2314189815084623E-12</c:v>
                </c:pt>
                <c:pt idx="152">
                  <c:v>1.2314189815084623E-12</c:v>
                </c:pt>
                <c:pt idx="153">
                  <c:v>1.2314189815084623E-12</c:v>
                </c:pt>
                <c:pt idx="154">
                  <c:v>1.2314189815084623E-12</c:v>
                </c:pt>
                <c:pt idx="155">
                  <c:v>1.2314189815084623E-12</c:v>
                </c:pt>
                <c:pt idx="156">
                  <c:v>1.2314189815084623E-12</c:v>
                </c:pt>
                <c:pt idx="157">
                  <c:v>1.2314189815084623E-12</c:v>
                </c:pt>
                <c:pt idx="158">
                  <c:v>1.2314189815084623E-12</c:v>
                </c:pt>
                <c:pt idx="159">
                  <c:v>1.2314189815084623E-12</c:v>
                </c:pt>
                <c:pt idx="160">
                  <c:v>1.2314189815084623E-12</c:v>
                </c:pt>
                <c:pt idx="161">
                  <c:v>1.2314189815084623E-12</c:v>
                </c:pt>
                <c:pt idx="162">
                  <c:v>1.2314189815084623E-12</c:v>
                </c:pt>
                <c:pt idx="163">
                  <c:v>1.2314189815084623E-12</c:v>
                </c:pt>
                <c:pt idx="164">
                  <c:v>1.2314189815084623E-12</c:v>
                </c:pt>
                <c:pt idx="165">
                  <c:v>1.2314189815084623E-12</c:v>
                </c:pt>
                <c:pt idx="166">
                  <c:v>1.2314189815084623E-12</c:v>
                </c:pt>
                <c:pt idx="167">
                  <c:v>1.2314189815084623E-12</c:v>
                </c:pt>
                <c:pt idx="168">
                  <c:v>1.2314189815084623E-12</c:v>
                </c:pt>
                <c:pt idx="169">
                  <c:v>1.2314189815084623E-12</c:v>
                </c:pt>
                <c:pt idx="170">
                  <c:v>1.2314189815084623E-12</c:v>
                </c:pt>
                <c:pt idx="171">
                  <c:v>1.2314189815084623E-12</c:v>
                </c:pt>
                <c:pt idx="172">
                  <c:v>1.2314189815084623E-12</c:v>
                </c:pt>
                <c:pt idx="173">
                  <c:v>1.2314189815084623E-12</c:v>
                </c:pt>
                <c:pt idx="174">
                  <c:v>1.2314189815084623E-12</c:v>
                </c:pt>
                <c:pt idx="175">
                  <c:v>1.2314189815084623E-12</c:v>
                </c:pt>
                <c:pt idx="176">
                  <c:v>1.2314189815084623E-12</c:v>
                </c:pt>
                <c:pt idx="177">
                  <c:v>1.2314189815084623E-12</c:v>
                </c:pt>
                <c:pt idx="178">
                  <c:v>1.2314189815084623E-12</c:v>
                </c:pt>
                <c:pt idx="179">
                  <c:v>1.2314189815084623E-12</c:v>
                </c:pt>
                <c:pt idx="180">
                  <c:v>1.2314189815084623E-12</c:v>
                </c:pt>
                <c:pt idx="181">
                  <c:v>1.2314189815084623E-12</c:v>
                </c:pt>
                <c:pt idx="182">
                  <c:v>1.2314189815084623E-12</c:v>
                </c:pt>
                <c:pt idx="183">
                  <c:v>1.2314189815084623E-12</c:v>
                </c:pt>
                <c:pt idx="184">
                  <c:v>1.2314189815084623E-12</c:v>
                </c:pt>
                <c:pt idx="185">
                  <c:v>1.2314189815084623E-12</c:v>
                </c:pt>
                <c:pt idx="186">
                  <c:v>1.2314189815084623E-12</c:v>
                </c:pt>
                <c:pt idx="187">
                  <c:v>1.2314189815084623E-12</c:v>
                </c:pt>
                <c:pt idx="188">
                  <c:v>1.2314189815084623E-12</c:v>
                </c:pt>
                <c:pt idx="189">
                  <c:v>1.2314189815084623E-12</c:v>
                </c:pt>
                <c:pt idx="190">
                  <c:v>1.2314189815084623E-12</c:v>
                </c:pt>
                <c:pt idx="191">
                  <c:v>1.2314189815084623E-12</c:v>
                </c:pt>
                <c:pt idx="192">
                  <c:v>1.2314189815084623E-12</c:v>
                </c:pt>
                <c:pt idx="193">
                  <c:v>1.2314189815084623E-12</c:v>
                </c:pt>
                <c:pt idx="194">
                  <c:v>1.2314189815084623E-12</c:v>
                </c:pt>
                <c:pt idx="195">
                  <c:v>1.2314189815084623E-12</c:v>
                </c:pt>
                <c:pt idx="196">
                  <c:v>1.2314189815084623E-12</c:v>
                </c:pt>
                <c:pt idx="197">
                  <c:v>1.2314189815084623E-12</c:v>
                </c:pt>
                <c:pt idx="198">
                  <c:v>1.2314189815084623E-12</c:v>
                </c:pt>
                <c:pt idx="199">
                  <c:v>1.2314189815084623E-12</c:v>
                </c:pt>
                <c:pt idx="200">
                  <c:v>1.2314189815084623E-12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24576"/>
        <c:axId val="1142832192"/>
      </c:scatterChart>
      <c:valAx>
        <c:axId val="1142824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2192"/>
        <c:crosses val="autoZero"/>
        <c:crossBetween val="midCat"/>
      </c:valAx>
      <c:valAx>
        <c:axId val="114283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2.2484083617422774</c:v>
                </c:pt>
                <c:pt idx="2">
                  <c:v>2.9858086378882205</c:v>
                </c:pt>
                <c:pt idx="3">
                  <c:v>3.966049385322425</c:v>
                </c:pt>
                <c:pt idx="4">
                  <c:v>5.2694125595905703</c:v>
                </c:pt>
                <c:pt idx="5">
                  <c:v>7.0028166718675555</c:v>
                </c:pt>
                <c:pt idx="6">
                  <c:v>9.308683920204837</c:v>
                </c:pt>
                <c:pt idx="7">
                  <c:v>12.376768160861985</c:v>
                </c:pt>
                <c:pt idx="8">
                  <c:v>16.45993513943974</c:v>
                </c:pt>
                <c:pt idx="9">
                  <c:v>21.895219213522427</c:v>
                </c:pt>
                <c:pt idx="10">
                  <c:v>29.131925588483782</c:v>
                </c:pt>
                <c:pt idx="11">
                  <c:v>40.38408275654303</c:v>
                </c:pt>
                <c:pt idx="12">
                  <c:v>61.778431447211325</c:v>
                </c:pt>
                <c:pt idx="13">
                  <c:v>82.977111558343836</c:v>
                </c:pt>
                <c:pt idx="14">
                  <c:v>104.03799845051206</c:v>
                </c:pt>
                <c:pt idx="15">
                  <c:v>124.99313535308771</c:v>
                </c:pt>
                <c:pt idx="16">
                  <c:v>87.603616131814988</c:v>
                </c:pt>
                <c:pt idx="17">
                  <c:v>110.65058636488233</c:v>
                </c:pt>
                <c:pt idx="18">
                  <c:v>133.57915795884722</c:v>
                </c:pt>
                <c:pt idx="19">
                  <c:v>156.41260103328369</c:v>
                </c:pt>
                <c:pt idx="20">
                  <c:v>179.16678741707778</c:v>
                </c:pt>
                <c:pt idx="21">
                  <c:v>143.2939477623888</c:v>
                </c:pt>
                <c:pt idx="22">
                  <c:v>167.22993767644604</c:v>
                </c:pt>
                <c:pt idx="23">
                  <c:v>191.08500506258926</c:v>
                </c:pt>
                <c:pt idx="24">
                  <c:v>214.87068229433348</c:v>
                </c:pt>
                <c:pt idx="25">
                  <c:v>238.59573324490532</c:v>
                </c:pt>
                <c:pt idx="26">
                  <c:v>202.41958191649721</c:v>
                </c:pt>
                <c:pt idx="27">
                  <c:v>225.61050422909818</c:v>
                </c:pt>
                <c:pt idx="28">
                  <c:v>248.7468092558544</c:v>
                </c:pt>
                <c:pt idx="29">
                  <c:v>271.83429043682327</c:v>
                </c:pt>
                <c:pt idx="30">
                  <c:v>294.87767605242163</c:v>
                </c:pt>
                <c:pt idx="31">
                  <c:v>257.19884285520715</c:v>
                </c:pt>
                <c:pt idx="32">
                  <c:v>278.58307172178723</c:v>
                </c:pt>
                <c:pt idx="33">
                  <c:v>299.93048004385565</c:v>
                </c:pt>
                <c:pt idx="34">
                  <c:v>321.24405593004218</c:v>
                </c:pt>
                <c:pt idx="35">
                  <c:v>342.52635862596304</c:v>
                </c:pt>
                <c:pt idx="36">
                  <c:v>302.17555997473158</c:v>
                </c:pt>
                <c:pt idx="37">
                  <c:v>320.6835834239742</c:v>
                </c:pt>
                <c:pt idx="38">
                  <c:v>339.16798011936345</c:v>
                </c:pt>
                <c:pt idx="39">
                  <c:v>357.63021843517191</c:v>
                </c:pt>
                <c:pt idx="40">
                  <c:v>376.07160279648701</c:v>
                </c:pt>
                <c:pt idx="41">
                  <c:v>336.08882358493884</c:v>
                </c:pt>
                <c:pt idx="42">
                  <c:v>352.0378599039052</c:v>
                </c:pt>
                <c:pt idx="43">
                  <c:v>367.97106108239922</c:v>
                </c:pt>
                <c:pt idx="44">
                  <c:v>383.88920919164838</c:v>
                </c:pt>
                <c:pt idx="45">
                  <c:v>399.79301616201747</c:v>
                </c:pt>
                <c:pt idx="46">
                  <c:v>377.18861860717419</c:v>
                </c:pt>
                <c:pt idx="47">
                  <c:v>390.86628899650509</c:v>
                </c:pt>
                <c:pt idx="48">
                  <c:v>404.5335783841735</c:v>
                </c:pt>
                <c:pt idx="49">
                  <c:v>418.19088688764913</c:v>
                </c:pt>
                <c:pt idx="50">
                  <c:v>431.83858635941419</c:v>
                </c:pt>
                <c:pt idx="51">
                  <c:v>414.28979501974959</c:v>
                </c:pt>
                <c:pt idx="52">
                  <c:v>425.99072614453195</c:v>
                </c:pt>
                <c:pt idx="53">
                  <c:v>437.68474556682253</c:v>
                </c:pt>
                <c:pt idx="54">
                  <c:v>449.37206399490151</c:v>
                </c:pt>
                <c:pt idx="55">
                  <c:v>461.05288028198453</c:v>
                </c:pt>
                <c:pt idx="56">
                  <c:v>446.03350212624269</c:v>
                </c:pt>
                <c:pt idx="57">
                  <c:v>456.04760004495284</c:v>
                </c:pt>
                <c:pt idx="58">
                  <c:v>466.05700089588419</c:v>
                </c:pt>
                <c:pt idx="59">
                  <c:v>476.06181979896172</c:v>
                </c:pt>
                <c:pt idx="60">
                  <c:v>486.06216663988454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34368"/>
        <c:axId val="1142825664"/>
      </c:scatterChart>
      <c:valAx>
        <c:axId val="1142834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5664"/>
        <c:crosses val="autoZero"/>
        <c:crossBetween val="midCat"/>
      </c:valAx>
      <c:valAx>
        <c:axId val="114282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4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22944"/>
        <c:axId val="1142828384"/>
      </c:scatterChart>
      <c:valAx>
        <c:axId val="1142822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8384"/>
        <c:crosses val="autoZero"/>
        <c:crossBetween val="midCat"/>
      </c:valAx>
      <c:valAx>
        <c:axId val="114282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2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34912"/>
        <c:axId val="1142835456"/>
      </c:scatterChart>
      <c:valAx>
        <c:axId val="1142834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5456"/>
        <c:crosses val="autoZero"/>
        <c:crossBetween val="midCat"/>
      </c:valAx>
      <c:valAx>
        <c:axId val="114283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4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23488"/>
        <c:axId val="1142827296"/>
      </c:scatterChart>
      <c:valAx>
        <c:axId val="1142823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7296"/>
        <c:crosses val="autoZero"/>
        <c:crossBetween val="midCat"/>
      </c:valAx>
      <c:valAx>
        <c:axId val="114282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3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25120"/>
        <c:axId val="1142827840"/>
      </c:scatterChart>
      <c:valAx>
        <c:axId val="1142825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7840"/>
        <c:crosses val="autoZero"/>
        <c:crossBetween val="midCat"/>
      </c:valAx>
      <c:valAx>
        <c:axId val="114282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5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826208"/>
        <c:axId val="1142836000"/>
      </c:scatterChart>
      <c:valAx>
        <c:axId val="1142826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36000"/>
        <c:crosses val="autoZero"/>
        <c:crossBetween val="midCat"/>
      </c:valAx>
      <c:valAx>
        <c:axId val="11428360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2826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L87" sqref="L8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0.25</v>
      </c>
      <c r="D9" s="36">
        <f t="shared" ref="D9:D18" si="0">C9*$C$5</f>
        <v>0.65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81</v>
      </c>
      <c r="C10" s="35">
        <v>0.43</v>
      </c>
      <c r="D10" s="36">
        <f t="shared" si="0"/>
        <v>1.1180000000000001</v>
      </c>
      <c r="E10" s="37">
        <v>42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0.23</v>
      </c>
      <c r="D11" s="36">
        <f t="shared" si="0"/>
        <v>0.59800000000000009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</v>
      </c>
      <c r="C12" s="35">
        <v>0.09</v>
      </c>
      <c r="D12" s="36">
        <f t="shared" si="0"/>
        <v>0.23399999999999999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2.6000000000000005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3">
        <v>126</v>
      </c>
      <c r="C36" s="63">
        <v>1</v>
      </c>
      <c r="D36" s="63">
        <v>0</v>
      </c>
      <c r="E36" s="54"/>
      <c r="F36" s="54"/>
      <c r="G36" s="54"/>
      <c r="H36" s="54">
        <v>1</v>
      </c>
      <c r="I36" s="52">
        <f>IFERROR(B36/A36,"")</f>
        <v>8.4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v>238</v>
      </c>
      <c r="C37" s="63">
        <v>2</v>
      </c>
      <c r="D37" s="63">
        <v>0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22.4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372</v>
      </c>
      <c r="C38" s="63">
        <v>3</v>
      </c>
      <c r="D38" s="63">
        <v>21</v>
      </c>
      <c r="E38" s="54">
        <v>0.2</v>
      </c>
      <c r="F38" s="54">
        <v>0.4</v>
      </c>
      <c r="G38" s="54">
        <v>0.4</v>
      </c>
      <c r="H38" s="54"/>
      <c r="I38" s="56">
        <f t="shared" si="1"/>
        <v>26.8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484</v>
      </c>
      <c r="C39" s="63">
        <v>4</v>
      </c>
      <c r="D39" s="63">
        <v>48</v>
      </c>
      <c r="E39" s="54">
        <v>0.2</v>
      </c>
      <c r="F39" s="54">
        <v>0.4</v>
      </c>
      <c r="G39" s="54">
        <v>0.4</v>
      </c>
      <c r="H39" s="54"/>
      <c r="I39" s="52">
        <f t="shared" si="1"/>
        <v>26.6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3">
        <v>559</v>
      </c>
      <c r="C40" s="63">
        <v>5</v>
      </c>
      <c r="D40" s="63">
        <v>61</v>
      </c>
      <c r="E40" s="54"/>
      <c r="F40" s="54"/>
      <c r="G40" s="54"/>
      <c r="H40" s="54"/>
      <c r="I40" s="52">
        <f t="shared" si="1"/>
        <v>24.6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63">
        <v>607</v>
      </c>
      <c r="C41" s="63">
        <v>6</v>
      </c>
      <c r="D41" s="63">
        <v>64</v>
      </c>
      <c r="E41" s="54"/>
      <c r="F41" s="54"/>
      <c r="G41" s="54"/>
      <c r="H41" s="54"/>
      <c r="I41" s="56">
        <f t="shared" si="1"/>
        <v>21.8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63">
        <v>642</v>
      </c>
      <c r="C42" s="63">
        <v>7</v>
      </c>
      <c r="D42" s="63">
        <v>70</v>
      </c>
      <c r="E42" s="54"/>
      <c r="F42" s="54"/>
      <c r="G42" s="54"/>
      <c r="H42" s="54"/>
      <c r="I42" s="56">
        <f t="shared" si="1"/>
        <v>19.8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50</v>
      </c>
      <c r="B43" s="63">
        <v>663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18.2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55</v>
      </c>
      <c r="B44" s="63">
        <v>675</v>
      </c>
      <c r="C44" s="63">
        <v>9</v>
      </c>
      <c r="D44" s="63">
        <v>67</v>
      </c>
      <c r="E44" s="54"/>
      <c r="F44" s="54"/>
      <c r="G44" s="54"/>
      <c r="H44" s="54"/>
      <c r="I44" s="52">
        <f t="shared" si="1"/>
        <v>17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60</v>
      </c>
      <c r="B45" s="63">
        <v>687</v>
      </c>
      <c r="C45" s="63">
        <v>10</v>
      </c>
      <c r="D45" s="63">
        <v>61</v>
      </c>
      <c r="E45" s="54"/>
      <c r="F45" s="54"/>
      <c r="G45" s="54"/>
      <c r="H45" s="54"/>
      <c r="I45" s="52">
        <f t="shared" si="1"/>
        <v>15.8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65</v>
      </c>
      <c r="B46" s="63">
        <v>700</v>
      </c>
      <c r="C46" s="63"/>
      <c r="D46" s="63">
        <v>700</v>
      </c>
      <c r="E46" s="54"/>
      <c r="F46" s="54"/>
      <c r="G46" s="54"/>
      <c r="H46" s="54"/>
      <c r="I46" s="52">
        <f t="shared" si="1"/>
        <v>14.8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Mélèze hybride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12</v>
      </c>
      <c r="B62" s="63">
        <v>116</v>
      </c>
      <c r="C62" s="63">
        <v>1</v>
      </c>
      <c r="D62" s="63">
        <v>21</v>
      </c>
      <c r="E62" s="54"/>
      <c r="F62" s="54"/>
      <c r="G62" s="54"/>
      <c r="H62" s="54">
        <v>1</v>
      </c>
      <c r="I62" s="56">
        <f>IFERROR(B62/A62,"")</f>
        <v>9.6666666666666661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15</v>
      </c>
      <c r="B63" s="63">
        <v>168</v>
      </c>
      <c r="C63" s="63">
        <v>2</v>
      </c>
      <c r="D63" s="63">
        <v>47</v>
      </c>
      <c r="E63" s="54"/>
      <c r="F63" s="54"/>
      <c r="G63" s="54"/>
      <c r="H63" s="54">
        <v>1</v>
      </c>
      <c r="I63" s="52">
        <f>IF(A63&lt;&gt;0,(B63-(B62-D62))/(A63-A62),"")</f>
        <v>24.333333333333332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18</v>
      </c>
      <c r="B64" s="63">
        <v>185</v>
      </c>
      <c r="C64" s="63">
        <v>3</v>
      </c>
      <c r="D64" s="63">
        <v>61</v>
      </c>
      <c r="E64" s="54"/>
      <c r="F64" s="54">
        <v>0.5</v>
      </c>
      <c r="G64" s="54">
        <v>0.5</v>
      </c>
      <c r="H64" s="54"/>
      <c r="I64" s="52">
        <f>IF(A64&lt;&gt;0,(B64-(B63-D63))/(A64-A63),"")</f>
        <v>21.333333333333332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24</v>
      </c>
      <c r="B65" s="63">
        <v>239</v>
      </c>
      <c r="C65" s="63">
        <v>4</v>
      </c>
      <c r="D65" s="63">
        <v>84</v>
      </c>
      <c r="E65" s="54">
        <v>0.2</v>
      </c>
      <c r="F65" s="54">
        <v>0.5</v>
      </c>
      <c r="G65" s="54">
        <v>0.3</v>
      </c>
      <c r="H65" s="54"/>
      <c r="I65" s="52">
        <f>IF(A65&lt;&gt;0,(B65-(B64-D64))/(A65-A64),"")</f>
        <v>19.166666666666668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30</v>
      </c>
      <c r="B66" s="63">
        <v>255</v>
      </c>
      <c r="C66" s="63">
        <v>5</v>
      </c>
      <c r="D66" s="63">
        <v>76</v>
      </c>
      <c r="E66" s="54">
        <v>0.3</v>
      </c>
      <c r="F66" s="54">
        <v>0.4</v>
      </c>
      <c r="G66" s="54">
        <v>0.3</v>
      </c>
      <c r="H66" s="54"/>
      <c r="I66" s="52">
        <f t="shared" ref="I66:I81" si="2">IF(A66&lt;&gt;0,(B66-(B65-D65))/(A66-A65),"")</f>
        <v>16.666666666666668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36</v>
      </c>
      <c r="B67" s="63">
        <v>269</v>
      </c>
      <c r="C67" s="63">
        <v>6</v>
      </c>
      <c r="D67" s="63">
        <v>75</v>
      </c>
      <c r="E67" s="54"/>
      <c r="F67" s="54"/>
      <c r="G67" s="54"/>
      <c r="H67" s="54"/>
      <c r="I67" s="52">
        <f t="shared" si="2"/>
        <v>15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42</v>
      </c>
      <c r="B68" s="63">
        <v>278</v>
      </c>
      <c r="C68" s="63"/>
      <c r="D68" s="63">
        <v>278</v>
      </c>
      <c r="E68" s="54"/>
      <c r="F68" s="54"/>
      <c r="G68" s="54"/>
      <c r="H68" s="54"/>
      <c r="I68" s="52">
        <f t="shared" si="2"/>
        <v>14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18</v>
      </c>
      <c r="B88" s="63">
        <v>104</v>
      </c>
      <c r="C88" s="63">
        <v>1</v>
      </c>
      <c r="D88" s="63">
        <v>20</v>
      </c>
      <c r="E88" s="54">
        <v>0.2</v>
      </c>
      <c r="F88" s="54">
        <v>0.4</v>
      </c>
      <c r="G88" s="54">
        <v>0.4</v>
      </c>
      <c r="H88" s="93"/>
      <c r="I88" s="56">
        <f>IFERROR(B88/A88,"")</f>
        <v>5.7777777777777777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27</v>
      </c>
      <c r="B89" s="63">
        <v>141</v>
      </c>
      <c r="C89" s="63">
        <v>2</v>
      </c>
      <c r="D89" s="63">
        <v>30</v>
      </c>
      <c r="E89" s="54">
        <v>0.2</v>
      </c>
      <c r="F89" s="54">
        <v>0.4</v>
      </c>
      <c r="G89" s="54">
        <v>0.4</v>
      </c>
      <c r="H89" s="93"/>
      <c r="I89" s="56">
        <f t="shared" ref="I89:I107" si="3">IF(A89&lt;&gt;0,(B89-(B88-D88))/(A89-A88),"")</f>
        <v>6.333333333333333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36</v>
      </c>
      <c r="B90" s="63">
        <v>173</v>
      </c>
      <c r="C90" s="63">
        <v>3</v>
      </c>
      <c r="D90" s="63">
        <v>40</v>
      </c>
      <c r="E90" s="93"/>
      <c r="F90" s="93"/>
      <c r="G90" s="93"/>
      <c r="H90" s="93"/>
      <c r="I90" s="56">
        <f t="shared" si="3"/>
        <v>6.8888888888888893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45</v>
      </c>
      <c r="B91" s="63">
        <v>196</v>
      </c>
      <c r="C91" s="63">
        <v>4</v>
      </c>
      <c r="D91" s="63">
        <v>40</v>
      </c>
      <c r="E91" s="93"/>
      <c r="F91" s="93"/>
      <c r="G91" s="93"/>
      <c r="H91" s="93"/>
      <c r="I91" s="56">
        <f t="shared" si="3"/>
        <v>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54</v>
      </c>
      <c r="B92" s="63">
        <v>223</v>
      </c>
      <c r="C92" s="63">
        <v>5</v>
      </c>
      <c r="D92" s="63">
        <v>50</v>
      </c>
      <c r="E92" s="93"/>
      <c r="F92" s="93"/>
      <c r="G92" s="93"/>
      <c r="H92" s="93"/>
      <c r="I92" s="56">
        <f t="shared" si="3"/>
        <v>7.4444444444444446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60</v>
      </c>
      <c r="B93" s="63">
        <v>221</v>
      </c>
      <c r="C93" s="63"/>
      <c r="D93" s="63">
        <v>221</v>
      </c>
      <c r="E93" s="93"/>
      <c r="F93" s="93"/>
      <c r="G93" s="93"/>
      <c r="H93" s="93"/>
      <c r="I93" s="56">
        <f t="shared" si="3"/>
        <v>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Aulne glutineux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10</v>
      </c>
      <c r="B114" s="63">
        <v>19</v>
      </c>
      <c r="C114" s="53">
        <v>1</v>
      </c>
      <c r="D114" s="63">
        <v>7</v>
      </c>
      <c r="E114" s="54"/>
      <c r="F114" s="54"/>
      <c r="G114" s="54"/>
      <c r="H114" s="54">
        <v>1</v>
      </c>
      <c r="I114" s="56">
        <f>IFERROR(B114/A114,"")</f>
        <v>1.9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15</v>
      </c>
      <c r="B115" s="63">
        <v>85</v>
      </c>
      <c r="C115" s="53">
        <v>2</v>
      </c>
      <c r="D115" s="63">
        <v>42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14.6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20</v>
      </c>
      <c r="B116" s="63">
        <v>123</v>
      </c>
      <c r="C116" s="53">
        <v>3</v>
      </c>
      <c r="D116" s="63">
        <v>42</v>
      </c>
      <c r="E116" s="54"/>
      <c r="F116" s="54">
        <v>0.5</v>
      </c>
      <c r="G116" s="54">
        <v>0.5</v>
      </c>
      <c r="H116" s="54"/>
      <c r="I116" s="56">
        <f t="shared" si="4"/>
        <v>16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25</v>
      </c>
      <c r="B117" s="63">
        <v>165</v>
      </c>
      <c r="C117" s="53">
        <v>4</v>
      </c>
      <c r="D117" s="63">
        <v>42</v>
      </c>
      <c r="E117" s="54">
        <v>0.1</v>
      </c>
      <c r="F117" s="54">
        <v>0.5</v>
      </c>
      <c r="G117" s="54">
        <v>0.4</v>
      </c>
      <c r="H117" s="54"/>
      <c r="I117" s="56">
        <f t="shared" si="4"/>
        <v>16.8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30</v>
      </c>
      <c r="B118" s="63">
        <v>205</v>
      </c>
      <c r="C118" s="53">
        <v>5</v>
      </c>
      <c r="D118" s="63">
        <v>42</v>
      </c>
      <c r="E118" s="54">
        <v>0.1</v>
      </c>
      <c r="F118" s="54">
        <v>0.5</v>
      </c>
      <c r="G118" s="54">
        <v>0.4</v>
      </c>
      <c r="H118" s="54"/>
      <c r="I118" s="56">
        <f t="shared" si="4"/>
        <v>16.399999999999999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35</v>
      </c>
      <c r="B119" s="63">
        <v>239</v>
      </c>
      <c r="C119" s="53">
        <v>6</v>
      </c>
      <c r="D119" s="63">
        <v>42</v>
      </c>
      <c r="E119" s="54"/>
      <c r="F119" s="54"/>
      <c r="G119" s="54"/>
      <c r="H119" s="54"/>
      <c r="I119" s="56">
        <f t="shared" si="4"/>
        <v>15.2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40</v>
      </c>
      <c r="B120" s="63">
        <v>263</v>
      </c>
      <c r="C120" s="63">
        <v>7</v>
      </c>
      <c r="D120" s="63">
        <v>40</v>
      </c>
      <c r="E120" s="93"/>
      <c r="F120" s="93"/>
      <c r="G120" s="93"/>
      <c r="H120" s="93"/>
      <c r="I120" s="56">
        <f t="shared" si="4"/>
        <v>13.2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45</v>
      </c>
      <c r="B121" s="63">
        <v>280</v>
      </c>
      <c r="C121" s="63">
        <v>8</v>
      </c>
      <c r="D121" s="63">
        <v>26</v>
      </c>
      <c r="E121" s="93"/>
      <c r="F121" s="93"/>
      <c r="G121" s="93"/>
      <c r="H121" s="93"/>
      <c r="I121" s="56">
        <f t="shared" si="4"/>
        <v>11.4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50</v>
      </c>
      <c r="B122" s="63">
        <v>303</v>
      </c>
      <c r="C122" s="63">
        <v>9</v>
      </c>
      <c r="D122" s="63">
        <v>21</v>
      </c>
      <c r="E122" s="93"/>
      <c r="F122" s="93"/>
      <c r="G122" s="93"/>
      <c r="H122" s="93"/>
      <c r="I122" s="56">
        <f t="shared" si="4"/>
        <v>9.8000000000000007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55</v>
      </c>
      <c r="B123" s="63">
        <v>324</v>
      </c>
      <c r="C123" s="63">
        <v>10</v>
      </c>
      <c r="D123" s="63">
        <v>18</v>
      </c>
      <c r="E123" s="93"/>
      <c r="F123" s="93"/>
      <c r="G123" s="93"/>
      <c r="H123" s="93"/>
      <c r="I123" s="56">
        <f t="shared" si="4"/>
        <v>8.4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60</v>
      </c>
      <c r="B124" s="63">
        <v>342</v>
      </c>
      <c r="C124" s="63"/>
      <c r="D124" s="63">
        <v>342</v>
      </c>
      <c r="E124" s="93"/>
      <c r="F124" s="93"/>
      <c r="G124" s="93"/>
      <c r="H124" s="93"/>
      <c r="I124" s="56">
        <f t="shared" si="4"/>
        <v>7.2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Mélèze hybride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Aulne glutineux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446.5364328843699</v>
      </c>
      <c r="T3" s="62">
        <f>IF('Données projet'!E9&gt;30,$R$33-$H$33,LOOKUP('Données projet'!$E$9,$A$3:$A$203,R3:R203)-LOOKUP('Données projet'!$E$9,$A$3:$A$203,$H$3:$H$203))</f>
        <v>559.96606361482179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164.0740581424559</v>
      </c>
      <c r="AO3" s="62">
        <f>IF('Données projet'!E10&gt;30,$AM$33-$H$33,LOOKUP('Données projet'!$E$10,$A$3:$A$203,AM3:AM203)-LOOKUP('Données projet'!$E$10,$A$3:$A$203,$H$3:$H$203))</f>
        <v>280.99861170359793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90.829393941874685</v>
      </c>
      <c r="BJ3" s="62">
        <f>IF('Données projet'!E11&gt;30,$BH$33-$H$33,LOOKUP('Données projet'!$E$11,$A$3:$A$203,BH3:BH203)-LOOKUP('Données projet'!$E$11,$A$3:$A$203,$H$3:$H$203))</f>
        <v>113.5315547498717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211.95495599943246</v>
      </c>
      <c r="CE3" s="62">
        <f>IF('Données projet'!E12&gt;30,$CC$33-$H$33,LOOKUP('Données projet'!$E$12,$A$3:$A$203,CC3:CC203)-LOOKUP('Données projet'!$E$12,$A$3:$A$203,$H$3:$H$203))</f>
        <v>270.47407508916842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8.4</v>
      </c>
      <c r="N4" s="14">
        <f>IF('Données projet'!$A$36&gt;35,N3+M4-V3,IF(A4&lt;'Données projet'!$A$36,$K$205^A4,IF(A4='Données projet'!$A$36,'Données projet'!$B$36,N3+M4-V3)))</f>
        <v>1.3804627841663464</v>
      </c>
      <c r="O4" s="14">
        <f>N4*VLOOKUP('Données projet'!$B$9,Paramètres!$A$1:$I$89,3,0)*VLOOKUP('Données projet'!$B$9,Paramètres!$A$1:$I$89,5,0)</f>
        <v>0.77167869634898767</v>
      </c>
      <c r="P4" s="14">
        <f>EXP(-1.0587+0.8836*LN(O4)+0.284)</f>
        <v>0.36651433549739537</v>
      </c>
      <c r="Q4" s="22">
        <f t="shared" ref="Q4:Q34" si="2">(O4+P4)*0.475*44/12</f>
        <v>1.982352863799117</v>
      </c>
      <c r="R4" s="62">
        <f t="shared" si="0"/>
        <v>259.87124175268798</v>
      </c>
      <c r="S4" s="62">
        <f ca="1">AVERAGE(OFFSET($R$3,0,0,'Données projet'!$E$9+1,1))-AVERAGE(OFFSET($H$3,0,0,'Données projet'!$E$9+1,1))</f>
        <v>446.5364328843699</v>
      </c>
      <c r="T4" s="62">
        <f>$T$3</f>
        <v>559.96606361482179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9.6666666666666661</v>
      </c>
      <c r="AI4" s="14">
        <f>IF('Données projet'!$A$62&gt;35,AI3+AH4-AQ3,IF(A4&lt;'Données projet'!$A$62,$AF$205^A4,IF(A4='Données projet'!$A$62,'Données projet'!$B$62,AI3+AH4-AQ3)))</f>
        <v>1.4860662319460807</v>
      </c>
      <c r="AJ4" s="14">
        <f>AI4*VLOOKUP('Données projet'!$B$10,Paramètres!$A$1:$I$89,3,0)*VLOOKUP('Données projet'!$B$10,Paramètres!$A$1:$I$89,5,0)</f>
        <v>0.81139216264255998</v>
      </c>
      <c r="AK4" s="14">
        <f>EXP(-1.0587+0.8836*LN(AJ4)+0.284)</f>
        <v>0.38313198283208655</v>
      </c>
      <c r="AL4" s="22">
        <f t="shared" ref="AL4:AL67" si="4">(AJ4+AK4)*0.475*44/12</f>
        <v>2.0804628867016759</v>
      </c>
      <c r="AM4" s="62">
        <f t="shared" ref="AM4:AM67" si="5">AL4+(AD4+AE4)*44/12</f>
        <v>259.96935177559055</v>
      </c>
      <c r="AN4" s="62">
        <f ca="1">AVERAGE(OFFSET($AM$3,0,0,'Données projet'!$E$10+1,1))-AVERAGE(OFFSET($H$3,0,0,'Données projet'!$E$10+1,1))</f>
        <v>164.0740581424559</v>
      </c>
      <c r="AO4" s="62">
        <f>$AO$3</f>
        <v>280.99861170359793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5.7777777777777777</v>
      </c>
      <c r="BD4" s="13">
        <f>IF('Données projet'!$A$88&gt;35,BD3+BC4-BL3,IF(A4&lt;'Données projet'!$A$88,$BA$205^A4,IF(A4='Données projet'!$A$88,'Données projet'!$B$88,BD3+BC4-BL3)))</f>
        <v>1.2943669275923884</v>
      </c>
      <c r="BE4" s="14">
        <f>BD4*VLOOKUP('Données projet'!$B$11,Paramètres!$A$1:$I$89,3,0)*VLOOKUP('Données projet'!$B$11,Paramètres!$A$1:$I$89,5,0)</f>
        <v>0.6057637221132377</v>
      </c>
      <c r="BF4" s="14">
        <f>EXP(-1.0587+0.8836*LN(BE4)+0.284)</f>
        <v>0.29593424653145856</v>
      </c>
      <c r="BG4" s="22">
        <f t="shared" ref="BG4:BG67" si="7">(BE4+BF4)*0.475*44/12</f>
        <v>1.5704572953895124</v>
      </c>
      <c r="BH4" s="62">
        <f t="shared" ref="BH4:BH67" si="8">BG4+(AY4+AZ4)*44/12</f>
        <v>259.45934618427839</v>
      </c>
      <c r="BI4" s="62">
        <f ca="1">AVERAGE(OFFSET($BH$3,0,0,'Données projet'!$E$11+1,1))-AVERAGE(OFFSET($H$3,0,0,'Données projet'!$E$11+1,1))</f>
        <v>90.829393941874685</v>
      </c>
      <c r="BJ4" s="62">
        <f>$BJ$3</f>
        <v>113.5315547498717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1.9</v>
      </c>
      <c r="BY4" s="13">
        <f>IF('Données projet'!$A$114&gt;35,BY3+BX4-CG3,IF(A4&lt;'Données projet'!$A$114,$BV$205^A4,IF(A4='Données projet'!$A$114,'Données projet'!$B$114,BY3+BX4-CG3)))</f>
        <v>1.3423796509621049</v>
      </c>
      <c r="BZ4" s="14">
        <f>BY4*VLOOKUP('Données projet'!$B$12,Paramètres!$A$1:$I$89,3,0)*VLOOKUP('Données projet'!$B$12,Paramètres!$A$1:$I$89,5,0)</f>
        <v>0.87952714731037107</v>
      </c>
      <c r="CA4" s="14">
        <f>EXP(-1.0587+0.8836*LN(BZ4)+0.284)</f>
        <v>0.41142502211103227</v>
      </c>
      <c r="CB4" s="22">
        <f t="shared" ref="CB4:CB67" si="10">(BZ4+CA4)*0.475*44/12</f>
        <v>2.2484083617422774</v>
      </c>
      <c r="CC4" s="62">
        <f t="shared" ref="CC4:CC67" si="11">CB4+(BT4+BU4)*44/12</f>
        <v>260.13729725063115</v>
      </c>
      <c r="CD4" s="62">
        <f ca="1">AVERAGE(OFFSET($CC$3,0,0,'Données projet'!$E$12+1,1))-AVERAGE(OFFSET($H$3,0,0,'Données projet'!$E$12+1,1))</f>
        <v>211.95495599943246</v>
      </c>
      <c r="CE4" s="62">
        <f>$CE$3</f>
        <v>270.47407508916842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8.4</v>
      </c>
      <c r="N5" s="14">
        <f>IF('Données projet'!$A$36&gt;35,N4+M5-V4,IF(A5&lt;'Données projet'!$A$36,$K$205^A5,IF(A5='Données projet'!$A$36,'Données projet'!$B$36,N4+M5-V4)))</f>
        <v>1.9056774984683007</v>
      </c>
      <c r="O5" s="14">
        <f>N5*VLOOKUP('Données projet'!$B$9,Paramètres!$A$1:$I$89,3,0)*VLOOKUP('Données projet'!$B$9,Paramètres!$A$1:$I$89,5,0)</f>
        <v>1.0652737216437802</v>
      </c>
      <c r="P5" s="14">
        <f t="shared" ref="P5:P68" si="33">EXP(-1.0587+0.8836*LN(O5)+0.284)</f>
        <v>0.4873228702573687</v>
      </c>
      <c r="Q5" s="22">
        <f t="shared" si="2"/>
        <v>2.7041057308945007</v>
      </c>
      <c r="R5" s="62">
        <f t="shared" si="0"/>
        <v>261.81521684200567</v>
      </c>
      <c r="S5" s="62">
        <f ca="1">AVERAGE(OFFSET($R$3,0,0,'Données projet'!$E$9+1,1))-AVERAGE(OFFSET($H$3,0,0,'Données projet'!$E$9+1,1))</f>
        <v>446.5364328843699</v>
      </c>
      <c r="T5" s="62">
        <f t="shared" ref="T5:T68" si="34">$T$3</f>
        <v>559.96606361482179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9.6666666666666661</v>
      </c>
      <c r="AI5" s="14">
        <f>IF('Données projet'!$A$62&gt;35,AI4+AH5-AQ4,IF(A5&lt;'Données projet'!$A$62,$AF$205^A5,IF(A5='Données projet'!$A$62,'Données projet'!$B$62,AI4+AH5-AQ4)))</f>
        <v>2.2083928457304225</v>
      </c>
      <c r="AJ5" s="14">
        <f>AI5*VLOOKUP('Données projet'!$B$10,Paramètres!$A$1:$I$89,3,0)*VLOOKUP('Données projet'!$B$10,Paramètres!$A$1:$I$89,5,0)</f>
        <v>1.2057824937688106</v>
      </c>
      <c r="AK5" s="14">
        <f t="shared" ref="AK5:AK68" si="35">EXP(-1.0587+0.8836*LN(AJ5)+0.284)</f>
        <v>0.54370250071771287</v>
      </c>
      <c r="AL5" s="22">
        <f t="shared" si="4"/>
        <v>3.0470196987306952</v>
      </c>
      <c r="AM5" s="62">
        <f t="shared" si="5"/>
        <v>262.15813080984185</v>
      </c>
      <c r="AN5" s="62">
        <f ca="1">AVERAGE(OFFSET($AM$3,0,0,'Données projet'!$E$10+1,1))-AVERAGE(OFFSET($H$3,0,0,'Données projet'!$E$10+1,1))</f>
        <v>164.0740581424559</v>
      </c>
      <c r="AO5" s="62">
        <f t="shared" ref="AO5:AO68" si="36">$AO$3</f>
        <v>280.99861170359793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5.7777777777777777</v>
      </c>
      <c r="BD5" s="13">
        <f>IF('Données projet'!$A$88&gt;35,BD4+BC5-BL4,IF(A5&lt;'Données projet'!$A$88,$BA$205^A5,IF(A5='Données projet'!$A$88,'Données projet'!$B$88,BD4+BC5-BL4)))</f>
        <v>1.675385743244959</v>
      </c>
      <c r="BE5" s="14">
        <f>BD5*VLOOKUP('Données projet'!$B$11,Paramètres!$A$1:$I$89,3,0)*VLOOKUP('Données projet'!$B$11,Paramètres!$A$1:$I$89,5,0)</f>
        <v>0.7840805278386408</v>
      </c>
      <c r="BF5" s="14">
        <f t="shared" ref="BF5:BF68" si="37">EXP(-1.0587+0.8836*LN(BE5)+0.284)</f>
        <v>0.37171419960231428</v>
      </c>
      <c r="BG5" s="22">
        <f t="shared" si="7"/>
        <v>2.0130091502929965</v>
      </c>
      <c r="BH5" s="62">
        <f t="shared" si="8"/>
        <v>261.12412026140413</v>
      </c>
      <c r="BI5" s="62">
        <f ca="1">AVERAGE(OFFSET($BH$3,0,0,'Données projet'!$E$11+1,1))-AVERAGE(OFFSET($H$3,0,0,'Données projet'!$E$11+1,1))</f>
        <v>90.829393941874685</v>
      </c>
      <c r="BJ5" s="62">
        <f t="shared" ref="BJ5:BJ68" si="38">$BJ$3</f>
        <v>113.5315547498717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1.9</v>
      </c>
      <c r="BY5" s="13">
        <f>IF('Données projet'!$A$114&gt;35,BY4+BX5-CG4,IF(A5&lt;'Données projet'!$A$114,$BV$205^A5,IF(A5='Données projet'!$A$114,'Données projet'!$B$114,BY4+BX5-CG4)))</f>
        <v>1.8019831273171425</v>
      </c>
      <c r="BZ5" s="14">
        <f>BY5*VLOOKUP('Données projet'!$B$12,Paramètres!$A$1:$I$89,3,0)*VLOOKUP('Données projet'!$B$12,Paramètres!$A$1:$I$89,5,0)</f>
        <v>1.1806593450181917</v>
      </c>
      <c r="CA5" s="14">
        <f t="shared" ref="CA5:CA68" si="39">EXP(-1.0587+0.8836*LN(BZ5)+0.284)</f>
        <v>0.5336805427645186</v>
      </c>
      <c r="CB5" s="22">
        <f t="shared" si="10"/>
        <v>2.9858086378882205</v>
      </c>
      <c r="CC5" s="62">
        <f t="shared" si="11"/>
        <v>262.09691974899937</v>
      </c>
      <c r="CD5" s="62">
        <f ca="1">AVERAGE(OFFSET($CC$3,0,0,'Données projet'!$E$12+1,1))-AVERAGE(OFFSET($H$3,0,0,'Données projet'!$E$12+1,1))</f>
        <v>211.95495599943246</v>
      </c>
      <c r="CE5" s="62">
        <f t="shared" ref="CE5:CE68" si="40">$CE$3</f>
        <v>270.47407508916842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8.4</v>
      </c>
      <c r="N6" s="14">
        <f>IF('Données projet'!$A$36&gt;35,N5+M6-V5,IF(A6&lt;'Données projet'!$A$36,$K$205^A6,IF(A6='Données projet'!$A$36,'Données projet'!$B$36,N5+M6-V5)))</f>
        <v>2.6307168652587087</v>
      </c>
      <c r="O6" s="14">
        <f>N6*VLOOKUP('Données projet'!$B$9,Paramètres!$A$1:$I$89,3,0)*VLOOKUP('Données projet'!$B$9,Paramètres!$A$1:$I$89,5,0)</f>
        <v>1.4705707276796183</v>
      </c>
      <c r="P6" s="14">
        <f t="shared" si="33"/>
        <v>0.64795168121757629</v>
      </c>
      <c r="Q6" s="22">
        <f t="shared" si="2"/>
        <v>3.6897598621626138</v>
      </c>
      <c r="R6" s="62">
        <f t="shared" si="0"/>
        <v>264.0230931954959</v>
      </c>
      <c r="S6" s="62">
        <f ca="1">AVERAGE(OFFSET($R$3,0,0,'Données projet'!$E$9+1,1))-AVERAGE(OFFSET($H$3,0,0,'Données projet'!$E$9+1,1))</f>
        <v>446.5364328843699</v>
      </c>
      <c r="T6" s="62">
        <f t="shared" si="34"/>
        <v>559.96606361482179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9.6666666666666661</v>
      </c>
      <c r="AI6" s="14">
        <f>IF('Données projet'!$A$62&gt;35,AI5+AH6-AQ5,IF(A6&lt;'Données projet'!$A$62,$AF$205^A6,IF(A6='Données projet'!$A$62,'Données projet'!$B$62,AI5+AH6-AQ5)))</f>
        <v>3.2818180349112911</v>
      </c>
      <c r="AJ6" s="14">
        <f>AI6*VLOOKUP('Données projet'!$B$10,Paramètres!$A$1:$I$89,3,0)*VLOOKUP('Données projet'!$B$10,Paramètres!$A$1:$I$89,5,0)</f>
        <v>1.7918726470615651</v>
      </c>
      <c r="AK6" s="14">
        <f t="shared" si="35"/>
        <v>0.77156808236563035</v>
      </c>
      <c r="AL6" s="22">
        <f t="shared" si="4"/>
        <v>4.4646592704190313</v>
      </c>
      <c r="AM6" s="62">
        <f t="shared" si="5"/>
        <v>264.79799260375233</v>
      </c>
      <c r="AN6" s="62">
        <f ca="1">AVERAGE(OFFSET($AM$3,0,0,'Données projet'!$E$10+1,1))-AVERAGE(OFFSET($H$3,0,0,'Données projet'!$E$10+1,1))</f>
        <v>164.0740581424559</v>
      </c>
      <c r="AO6" s="62">
        <f t="shared" si="36"/>
        <v>280.99861170359793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5.7777777777777777</v>
      </c>
      <c r="BD6" s="13">
        <f>IF('Données projet'!$A$88&gt;35,BD5+BC6-BL5,IF(A6&lt;'Données projet'!$A$88,$BA$205^A6,IF(A6='Données projet'!$A$88,'Données projet'!$B$88,BD5+BC6-BL5)))</f>
        <v>2.1685638970160674</v>
      </c>
      <c r="BE6" s="14">
        <f>BD6*VLOOKUP('Données projet'!$B$11,Paramètres!$A$1:$I$89,3,0)*VLOOKUP('Données projet'!$B$11,Paramètres!$A$1:$I$89,5,0)</f>
        <v>1.0148879038035197</v>
      </c>
      <c r="BF6" s="14">
        <f t="shared" si="37"/>
        <v>0.46689914332473553</v>
      </c>
      <c r="BG6" s="22">
        <f t="shared" si="7"/>
        <v>2.5807791070817112</v>
      </c>
      <c r="BH6" s="62">
        <f t="shared" si="8"/>
        <v>262.91411244041501</v>
      </c>
      <c r="BI6" s="62">
        <f ca="1">AVERAGE(OFFSET($BH$3,0,0,'Données projet'!$E$11+1,1))-AVERAGE(OFFSET($H$3,0,0,'Données projet'!$E$11+1,1))</f>
        <v>90.829393941874685</v>
      </c>
      <c r="BJ6" s="62">
        <f t="shared" si="38"/>
        <v>113.5315547498717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1.9</v>
      </c>
      <c r="BY6" s="13">
        <f>IF('Données projet'!$A$114&gt;35,BY5+BX6-CG5,IF(A6&lt;'Données projet'!$A$114,$BV$205^A6,IF(A6='Données projet'!$A$114,'Données projet'!$B$114,BY5+BX6-CG5)))</f>
        <v>2.4189454814875879</v>
      </c>
      <c r="BZ6" s="14">
        <f>BY6*VLOOKUP('Données projet'!$B$12,Paramètres!$A$1:$I$89,3,0)*VLOOKUP('Données projet'!$B$12,Paramètres!$A$1:$I$89,5,0)</f>
        <v>1.5848930794706675</v>
      </c>
      <c r="CA6" s="14">
        <f t="shared" si="39"/>
        <v>0.69226446234125116</v>
      </c>
      <c r="CB6" s="22">
        <f t="shared" si="10"/>
        <v>3.966049385322425</v>
      </c>
      <c r="CC6" s="62">
        <f t="shared" si="11"/>
        <v>264.29938271865575</v>
      </c>
      <c r="CD6" s="62">
        <f ca="1">AVERAGE(OFFSET($CC$3,0,0,'Données projet'!$E$12+1,1))-AVERAGE(OFFSET($H$3,0,0,'Données projet'!$E$12+1,1))</f>
        <v>211.95495599943246</v>
      </c>
      <c r="CE6" s="62">
        <f t="shared" si="40"/>
        <v>270.47407508916842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8.4</v>
      </c>
      <c r="N7" s="14">
        <f>IF('Données projet'!$A$36&gt;35,N6+M7-V6,IF(A7&lt;'Données projet'!$A$36,$K$205^A7,IF(A7='Données projet'!$A$36,'Données projet'!$B$36,N6+M7-V6)))</f>
        <v>3.6316067281684004</v>
      </c>
      <c r="O7" s="14">
        <f>N7*VLOOKUP('Données projet'!$B$9,Paramètres!$A$1:$I$89,3,0)*VLOOKUP('Données projet'!$B$9,Paramètres!$A$1:$I$89,5,0)</f>
        <v>2.030068161046136</v>
      </c>
      <c r="P7" s="14">
        <f t="shared" si="33"/>
        <v>0.86152611916398214</v>
      </c>
      <c r="Q7" s="22">
        <f t="shared" si="2"/>
        <v>5.0361933713659557</v>
      </c>
      <c r="R7" s="62">
        <f t="shared" si="0"/>
        <v>266.59174892692153</v>
      </c>
      <c r="S7" s="62">
        <f ca="1">AVERAGE(OFFSET($R$3,0,0,'Données projet'!$E$9+1,1))-AVERAGE(OFFSET($H$3,0,0,'Données projet'!$E$9+1,1))</f>
        <v>446.5364328843699</v>
      </c>
      <c r="T7" s="62">
        <f t="shared" si="34"/>
        <v>559.96606361482179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9.6666666666666661</v>
      </c>
      <c r="AI7" s="14">
        <f>IF('Données projet'!$A$62&gt;35,AI6+AH7-AQ6,IF(A7&lt;'Données projet'!$A$62,$AF$205^A7,IF(A7='Données projet'!$A$62,'Données projet'!$B$62,AI6+AH7-AQ6)))</f>
        <v>4.8769989610733138</v>
      </c>
      <c r="AJ7" s="14">
        <f>AI7*VLOOKUP('Données projet'!$B$10,Paramètres!$A$1:$I$89,3,0)*VLOOKUP('Données projet'!$B$10,Paramètres!$A$1:$I$89,5,0)</f>
        <v>2.6628414327460295</v>
      </c>
      <c r="AK7" s="14">
        <f t="shared" si="35"/>
        <v>1.0949320721157787</v>
      </c>
      <c r="AL7" s="22">
        <f t="shared" si="4"/>
        <v>6.5447888543009825</v>
      </c>
      <c r="AM7" s="62">
        <f t="shared" si="5"/>
        <v>268.10034440985652</v>
      </c>
      <c r="AN7" s="62">
        <f ca="1">AVERAGE(OFFSET($AM$3,0,0,'Données projet'!$E$10+1,1))-AVERAGE(OFFSET($H$3,0,0,'Données projet'!$E$10+1,1))</f>
        <v>164.0740581424559</v>
      </c>
      <c r="AO7" s="62">
        <f t="shared" si="36"/>
        <v>280.99861170359793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5.7777777777777777</v>
      </c>
      <c r="BD7" s="13">
        <f>IF('Données projet'!$A$88&gt;35,BD6+BC7-BL6,IF(A7&lt;'Données projet'!$A$88,$BA$205^A7,IF(A7='Données projet'!$A$88,'Données projet'!$B$88,BD6+BC7-BL6)))</f>
        <v>2.806917388668464</v>
      </c>
      <c r="BE7" s="14">
        <f>BD7*VLOOKUP('Données projet'!$B$11,Paramètres!$A$1:$I$89,3,0)*VLOOKUP('Données projet'!$B$11,Paramètres!$A$1:$I$89,5,0)</f>
        <v>1.3136373378968411</v>
      </c>
      <c r="BF7" s="14">
        <f t="shared" si="37"/>
        <v>0.58645811828172822</v>
      </c>
      <c r="BG7" s="22">
        <f t="shared" si="7"/>
        <v>3.3093329195110086</v>
      </c>
      <c r="BH7" s="62">
        <f t="shared" si="8"/>
        <v>264.86488847506655</v>
      </c>
      <c r="BI7" s="62">
        <f ca="1">AVERAGE(OFFSET($BH$3,0,0,'Données projet'!$E$11+1,1))-AVERAGE(OFFSET($H$3,0,0,'Données projet'!$E$11+1,1))</f>
        <v>90.829393941874685</v>
      </c>
      <c r="BJ7" s="62">
        <f t="shared" si="38"/>
        <v>113.5315547498717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1.9</v>
      </c>
      <c r="BY7" s="13">
        <f>IF('Données projet'!$A$114&gt;35,BY6+BX7-CG6,IF(A7&lt;'Données projet'!$A$114,$BV$205^A7,IF(A7='Données projet'!$A$114,'Données projet'!$B$114,BY6+BX7-CG6)))</f>
        <v>3.247143191135669</v>
      </c>
      <c r="BZ7" s="14">
        <f>BY7*VLOOKUP('Données projet'!$B$12,Paramètres!$A$1:$I$89,3,0)*VLOOKUP('Données projet'!$B$12,Paramètres!$A$1:$I$89,5,0)</f>
        <v>2.1275282188320901</v>
      </c>
      <c r="CA7" s="14">
        <f t="shared" si="39"/>
        <v>0.89797181538259174</v>
      </c>
      <c r="CB7" s="22">
        <f t="shared" si="10"/>
        <v>5.2694125595905703</v>
      </c>
      <c r="CC7" s="62">
        <f t="shared" si="11"/>
        <v>266.82496811514613</v>
      </c>
      <c r="CD7" s="62">
        <f ca="1">AVERAGE(OFFSET($CC$3,0,0,'Données projet'!$E$12+1,1))-AVERAGE(OFFSET($H$3,0,0,'Données projet'!$E$12+1,1))</f>
        <v>211.95495599943246</v>
      </c>
      <c r="CE7" s="62">
        <f t="shared" si="40"/>
        <v>270.47407508916842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8.4</v>
      </c>
      <c r="N8" s="14">
        <f>IF('Données projet'!$A$36&gt;35,N7+M8-V7,IF(A8&lt;'Données projet'!$A$36,$K$205^A8,IF(A8='Données projet'!$A$36,'Données projet'!$B$36,N7+M8-V7)))</f>
        <v>5.0132979349645854</v>
      </c>
      <c r="O8" s="14">
        <f>N8*VLOOKUP('Données projet'!$B$9,Paramètres!$A$1:$I$89,3,0)*VLOOKUP('Données projet'!$B$9,Paramètres!$A$1:$I$89,5,0)</f>
        <v>2.802433545645203</v>
      </c>
      <c r="P8" s="14">
        <f t="shared" si="33"/>
        <v>1.1454978442327994</v>
      </c>
      <c r="Q8" s="22">
        <f t="shared" si="2"/>
        <v>6.8759805040375204</v>
      </c>
      <c r="R8" s="62">
        <f t="shared" si="0"/>
        <v>269.65375828181527</v>
      </c>
      <c r="S8" s="62">
        <f ca="1">AVERAGE(OFFSET($R$3,0,0,'Données projet'!$E$9+1,1))-AVERAGE(OFFSET($H$3,0,0,'Données projet'!$E$9+1,1))</f>
        <v>446.5364328843699</v>
      </c>
      <c r="T8" s="62">
        <f t="shared" si="34"/>
        <v>559.96606361482179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9.6666666666666661</v>
      </c>
      <c r="AI8" s="14">
        <f>IF('Données projet'!$A$62&gt;35,AI7+AH8-AQ7,IF(A8&lt;'Données projet'!$A$62,$AF$205^A8,IF(A8='Données projet'!$A$62,'Données projet'!$B$62,AI7+AH8-AQ7)))</f>
        <v>7.2475434692871694</v>
      </c>
      <c r="AJ8" s="14">
        <f>AI8*VLOOKUP('Données projet'!$B$10,Paramètres!$A$1:$I$89,3,0)*VLOOKUP('Données projet'!$B$10,Paramètres!$A$1:$I$89,5,0)</f>
        <v>3.9571587342307946</v>
      </c>
      <c r="AK8" s="14">
        <f t="shared" si="35"/>
        <v>1.5538178288453746</v>
      </c>
      <c r="AL8" s="22">
        <f t="shared" si="4"/>
        <v>9.5982841806909942</v>
      </c>
      <c r="AM8" s="62">
        <f t="shared" si="5"/>
        <v>272.37606195846877</v>
      </c>
      <c r="AN8" s="62">
        <f ca="1">AVERAGE(OFFSET($AM$3,0,0,'Données projet'!$E$10+1,1))-AVERAGE(OFFSET($H$3,0,0,'Données projet'!$E$10+1,1))</f>
        <v>164.0740581424559</v>
      </c>
      <c r="AO8" s="62">
        <f t="shared" si="36"/>
        <v>280.99861170359793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5.7777777777777777</v>
      </c>
      <c r="BD8" s="13">
        <f>IF('Données projet'!$A$88&gt;35,BD7+BC8-BL7,IF(A8&lt;'Données projet'!$A$88,$BA$205^A8,IF(A8='Données projet'!$A$88,'Données projet'!$B$88,BD7+BC8-BL7)))</f>
        <v>3.6331810363764494</v>
      </c>
      <c r="BE8" s="14">
        <f>BD8*VLOOKUP('Données projet'!$B$11,Paramètres!$A$1:$I$89,3,0)*VLOOKUP('Données projet'!$B$11,Paramètres!$A$1:$I$89,5,0)</f>
        <v>1.7003287250241785</v>
      </c>
      <c r="BF8" s="14">
        <f t="shared" si="37"/>
        <v>0.73663258846318935</v>
      </c>
      <c r="BG8" s="22">
        <f t="shared" si="7"/>
        <v>4.2443742876571653</v>
      </c>
      <c r="BH8" s="62">
        <f t="shared" si="8"/>
        <v>267.02215206543491</v>
      </c>
      <c r="BI8" s="62">
        <f ca="1">AVERAGE(OFFSET($BH$3,0,0,'Données projet'!$E$11+1,1))-AVERAGE(OFFSET($H$3,0,0,'Données projet'!$E$11+1,1))</f>
        <v>90.829393941874685</v>
      </c>
      <c r="BJ8" s="62">
        <f t="shared" si="38"/>
        <v>113.5315547498717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1.9</v>
      </c>
      <c r="BY8" s="13">
        <f>IF('Données projet'!$A$114&gt;35,BY7+BX8-CG7,IF(A8&lt;'Données projet'!$A$114,$BV$205^A8,IF(A8='Données projet'!$A$114,'Données projet'!$B$114,BY7+BX8-CG7)))</f>
        <v>4.3588989435406749</v>
      </c>
      <c r="BZ8" s="14">
        <f>BY8*VLOOKUP('Données projet'!$B$12,Paramètres!$A$1:$I$89,3,0)*VLOOKUP('Données projet'!$B$12,Paramètres!$A$1:$I$89,5,0)</f>
        <v>2.8559505878078499</v>
      </c>
      <c r="CA8" s="14">
        <f t="shared" si="39"/>
        <v>1.1648053960395504</v>
      </c>
      <c r="CB8" s="22">
        <f t="shared" si="10"/>
        <v>7.0028166718675555</v>
      </c>
      <c r="CC8" s="62">
        <f t="shared" si="11"/>
        <v>269.78059444964532</v>
      </c>
      <c r="CD8" s="62">
        <f ca="1">AVERAGE(OFFSET($CC$3,0,0,'Données projet'!$E$12+1,1))-AVERAGE(OFFSET($H$3,0,0,'Données projet'!$E$12+1,1))</f>
        <v>211.95495599943246</v>
      </c>
      <c r="CE8" s="62">
        <f t="shared" si="40"/>
        <v>270.47407508916842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8.4</v>
      </c>
      <c r="N9" s="14">
        <f>IF('Données projet'!$A$36&gt;35,N8+M9-V8,IF(A9&lt;'Données projet'!$A$36,$K$205^A9,IF(A9='Données projet'!$A$36,'Données projet'!$B$36,N8+M9-V8)))</f>
        <v>6.9206712251566076</v>
      </c>
      <c r="O9" s="14">
        <f>N9*VLOOKUP('Données projet'!$B$9,Paramètres!$A$1:$I$89,3,0)*VLOOKUP('Données projet'!$B$9,Paramètres!$A$1:$I$89,5,0)</f>
        <v>3.8686552148625433</v>
      </c>
      <c r="P9" s="14">
        <f t="shared" si="33"/>
        <v>1.5230708413289964</v>
      </c>
      <c r="Q9" s="22">
        <f t="shared" si="2"/>
        <v>9.3905895478669326</v>
      </c>
      <c r="R9" s="62">
        <f t="shared" si="0"/>
        <v>273.39058954786691</v>
      </c>
      <c r="S9" s="62">
        <f ca="1">AVERAGE(OFFSET($R$3,0,0,'Données projet'!$E$9+1,1))-AVERAGE(OFFSET($H$3,0,0,'Données projet'!$E$9+1,1))</f>
        <v>446.5364328843699</v>
      </c>
      <c r="T9" s="62">
        <f t="shared" si="34"/>
        <v>559.96606361482179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9.6666666666666661</v>
      </c>
      <c r="AI9" s="14">
        <f>IF('Données projet'!$A$62&gt;35,AI8+AH9-AQ8,IF(A9&lt;'Données projet'!$A$62,$AF$205^A9,IF(A9='Données projet'!$A$62,'Données projet'!$B$62,AI8+AH9-AQ8)))</f>
        <v>10.770329614269009</v>
      </c>
      <c r="AJ9" s="14">
        <f>AI9*VLOOKUP('Données projet'!$B$10,Paramètres!$A$1:$I$89,3,0)*VLOOKUP('Données projet'!$B$10,Paramètres!$A$1:$I$89,5,0)</f>
        <v>5.8805999693908788</v>
      </c>
      <c r="AK9" s="14">
        <f t="shared" si="35"/>
        <v>2.2050224910961043</v>
      </c>
      <c r="AL9" s="22">
        <f t="shared" si="4"/>
        <v>14.082459118681493</v>
      </c>
      <c r="AM9" s="62">
        <f t="shared" si="5"/>
        <v>278.08245911868147</v>
      </c>
      <c r="AN9" s="62">
        <f ca="1">AVERAGE(OFFSET($AM$3,0,0,'Données projet'!$E$10+1,1))-AVERAGE(OFFSET($H$3,0,0,'Données projet'!$E$10+1,1))</f>
        <v>164.0740581424559</v>
      </c>
      <c r="AO9" s="62">
        <f t="shared" si="36"/>
        <v>280.99861170359793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5.7777777777777777</v>
      </c>
      <c r="BD9" s="13">
        <f>IF('Données projet'!$A$88&gt;35,BD8+BC9-BL8,IF(A9&lt;'Données projet'!$A$88,$BA$205^A9,IF(A9='Données projet'!$A$88,'Données projet'!$B$88,BD8+BC9-BL8)))</f>
        <v>4.7026693754415136</v>
      </c>
      <c r="BE9" s="14">
        <f>BD9*VLOOKUP('Données projet'!$B$11,Paramètres!$A$1:$I$89,3,0)*VLOOKUP('Données projet'!$B$11,Paramètres!$A$1:$I$89,5,0)</f>
        <v>2.2008492677066287</v>
      </c>
      <c r="BF9" s="14">
        <f t="shared" si="37"/>
        <v>0.92526227103110181</v>
      </c>
      <c r="BG9" s="22">
        <f t="shared" si="7"/>
        <v>5.444644263301547</v>
      </c>
      <c r="BH9" s="62">
        <f t="shared" si="8"/>
        <v>269.44464426330154</v>
      </c>
      <c r="BI9" s="62">
        <f ca="1">AVERAGE(OFFSET($BH$3,0,0,'Données projet'!$E$11+1,1))-AVERAGE(OFFSET($H$3,0,0,'Données projet'!$E$11+1,1))</f>
        <v>90.829393941874685</v>
      </c>
      <c r="BJ9" s="62">
        <f t="shared" si="38"/>
        <v>113.5315547498717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1.9</v>
      </c>
      <c r="BY9" s="13">
        <f>IF('Données projet'!$A$114&gt;35,BY8+BX9-CG8,IF(A9&lt;'Données projet'!$A$114,$BV$205^A9,IF(A9='Données projet'!$A$114,'Données projet'!$B$114,BY8+BX9-CG8)))</f>
        <v>5.8512972424092187</v>
      </c>
      <c r="BZ9" s="14">
        <f>BY9*VLOOKUP('Données projet'!$B$12,Paramètres!$A$1:$I$89,3,0)*VLOOKUP('Données projet'!$B$12,Paramètres!$A$1:$I$89,5,0)</f>
        <v>3.8337699532265201</v>
      </c>
      <c r="CA9" s="14">
        <f t="shared" si="39"/>
        <v>1.510928948326496</v>
      </c>
      <c r="CB9" s="22">
        <f t="shared" si="10"/>
        <v>9.308683920204837</v>
      </c>
      <c r="CC9" s="62">
        <f t="shared" si="11"/>
        <v>273.30868392020483</v>
      </c>
      <c r="CD9" s="62">
        <f ca="1">AVERAGE(OFFSET($CC$3,0,0,'Données projet'!$E$12+1,1))-AVERAGE(OFFSET($H$3,0,0,'Données projet'!$E$12+1,1))</f>
        <v>211.95495599943246</v>
      </c>
      <c r="CE9" s="62">
        <f t="shared" si="40"/>
        <v>270.47407508916842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8.4</v>
      </c>
      <c r="N10" s="14">
        <f>IF('Données projet'!$A$36&gt;35,N9+M10-V9,IF(A10&lt;'Données projet'!$A$36,$K$205^A10,IF(A10='Données projet'!$A$36,'Données projet'!$B$36,N9+M10-V9)))</f>
        <v>9.5537290677796101</v>
      </c>
      <c r="O10" s="14">
        <f>N10*VLOOKUP('Données projet'!$B$9,Paramètres!$A$1:$I$89,3,0)*VLOOKUP('Données projet'!$B$9,Paramètres!$A$1:$I$89,5,0)</f>
        <v>5.3405345488888027</v>
      </c>
      <c r="P10" s="14">
        <f t="shared" si="33"/>
        <v>2.0250974712748349</v>
      </c>
      <c r="Q10" s="22">
        <f t="shared" si="2"/>
        <v>12.828475768451668</v>
      </c>
      <c r="R10" s="62">
        <f t="shared" si="0"/>
        <v>278.05069799067388</v>
      </c>
      <c r="S10" s="62">
        <f ca="1">AVERAGE(OFFSET($R$3,0,0,'Données projet'!$E$9+1,1))-AVERAGE(OFFSET($H$3,0,0,'Données projet'!$E$9+1,1))</f>
        <v>446.5364328843699</v>
      </c>
      <c r="T10" s="62">
        <f t="shared" si="34"/>
        <v>559.96606361482179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9.6666666666666661</v>
      </c>
      <c r="AI10" s="14">
        <f>IF('Données projet'!$A$62&gt;35,AI9+AH10-AQ9,IF(A10&lt;'Données projet'!$A$62,$AF$205^A10,IF(A10='Données projet'!$A$62,'Données projet'!$B$62,AI9+AH10-AQ9)))</f>
        <v>16.005423146694032</v>
      </c>
      <c r="AJ10" s="14">
        <f>AI10*VLOOKUP('Données projet'!$B$10,Paramètres!$A$1:$I$89,3,0)*VLOOKUP('Données projet'!$B$10,Paramètres!$A$1:$I$89,5,0)</f>
        <v>8.7389610380949421</v>
      </c>
      <c r="AK10" s="14">
        <f t="shared" si="35"/>
        <v>3.1291468639233355</v>
      </c>
      <c r="AL10" s="22">
        <f t="shared" si="4"/>
        <v>20.6702879293485</v>
      </c>
      <c r="AM10" s="62">
        <f t="shared" si="5"/>
        <v>285.89251015157072</v>
      </c>
      <c r="AN10" s="62">
        <f ca="1">AVERAGE(OFFSET($AM$3,0,0,'Données projet'!$E$10+1,1))-AVERAGE(OFFSET($H$3,0,0,'Données projet'!$E$10+1,1))</f>
        <v>164.0740581424559</v>
      </c>
      <c r="AO10" s="62">
        <f t="shared" si="36"/>
        <v>280.99861170359793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5.7777777777777777</v>
      </c>
      <c r="BD10" s="13">
        <f>IF('Données projet'!$A$88&gt;35,BD9+BC10-BL9,IF(A10&lt;'Données projet'!$A$88,$BA$205^A10,IF(A10='Données projet'!$A$88,'Données projet'!$B$88,BD9+BC10-BL9)))</f>
        <v>6.0869797109730479</v>
      </c>
      <c r="BE10" s="14">
        <f>BD10*VLOOKUP('Données projet'!$B$11,Paramètres!$A$1:$I$89,3,0)*VLOOKUP('Données projet'!$B$11,Paramètres!$A$1:$I$89,5,0)</f>
        <v>2.8487065047353868</v>
      </c>
      <c r="BF10" s="14">
        <f t="shared" si="37"/>
        <v>1.1621944013903931</v>
      </c>
      <c r="BG10" s="22">
        <f t="shared" si="7"/>
        <v>6.9856524115024001</v>
      </c>
      <c r="BH10" s="62">
        <f t="shared" si="8"/>
        <v>272.2078746337246</v>
      </c>
      <c r="BI10" s="62">
        <f ca="1">AVERAGE(OFFSET($BH$3,0,0,'Données projet'!$E$11+1,1))-AVERAGE(OFFSET($H$3,0,0,'Données projet'!$E$11+1,1))</f>
        <v>90.829393941874685</v>
      </c>
      <c r="BJ10" s="62">
        <f t="shared" si="38"/>
        <v>113.5315547498717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1.9</v>
      </c>
      <c r="BY10" s="13">
        <f>IF('Données projet'!$A$114&gt;35,BY9+BX10-CG9,IF(A10&lt;'Données projet'!$A$114,$BV$205^A10,IF(A10='Données projet'!$A$114,'Données projet'!$B$114,BY9+BX10-CG9)))</f>
        <v>7.8546623499408135</v>
      </c>
      <c r="BZ10" s="14">
        <f>BY10*VLOOKUP('Données projet'!$B$12,Paramètres!$A$1:$I$89,3,0)*VLOOKUP('Données projet'!$B$12,Paramètres!$A$1:$I$89,5,0)</f>
        <v>5.1463747716812209</v>
      </c>
      <c r="CA10" s="14">
        <f t="shared" si="39"/>
        <v>1.9599035981916897</v>
      </c>
      <c r="CB10" s="22">
        <f t="shared" si="10"/>
        <v>12.376768160861985</v>
      </c>
      <c r="CC10" s="62">
        <f t="shared" si="11"/>
        <v>277.59899038308424</v>
      </c>
      <c r="CD10" s="62">
        <f ca="1">AVERAGE(OFFSET($CC$3,0,0,'Données projet'!$E$12+1,1))-AVERAGE(OFFSET($H$3,0,0,'Données projet'!$E$12+1,1))</f>
        <v>211.95495599943246</v>
      </c>
      <c r="CE10" s="62">
        <f t="shared" si="40"/>
        <v>270.47407508916842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8.4</v>
      </c>
      <c r="N11" s="14">
        <f>IF('Données projet'!$A$36&gt;35,N10+M11-V10,IF(A11&lt;'Données projet'!$A$36,$K$205^A11,IF(A11='Données projet'!$A$36,'Données projet'!$B$36,N10+M11-V10)))</f>
        <v>13.188567428077993</v>
      </c>
      <c r="O11" s="14">
        <f>N11*VLOOKUP('Données projet'!$B$9,Paramètres!$A$1:$I$89,3,0)*VLOOKUP('Données projet'!$B$9,Paramètres!$A$1:$I$89,5,0)</f>
        <v>7.3724091922955983</v>
      </c>
      <c r="P11" s="14">
        <f t="shared" si="33"/>
        <v>2.6925994884028341</v>
      </c>
      <c r="Q11" s="22">
        <f t="shared" si="2"/>
        <v>17.529890118883106</v>
      </c>
      <c r="R11" s="62">
        <f t="shared" si="0"/>
        <v>283.97433456332755</v>
      </c>
      <c r="S11" s="62">
        <f ca="1">AVERAGE(OFFSET($R$3,0,0,'Données projet'!$E$9+1,1))-AVERAGE(OFFSET($H$3,0,0,'Données projet'!$E$9+1,1))</f>
        <v>446.5364328843699</v>
      </c>
      <c r="T11" s="62">
        <f t="shared" si="34"/>
        <v>559.96606361482179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9.6666666666666661</v>
      </c>
      <c r="AI11" s="14">
        <f>IF('Données projet'!$A$62&gt;35,AI10+AH11-AQ10,IF(A11&lt;'Données projet'!$A$62,$AF$205^A11,IF(A11='Données projet'!$A$62,'Données projet'!$B$62,AI10+AH11-AQ10)))</f>
        <v>23.785118866310182</v>
      </c>
      <c r="AJ11" s="14">
        <f>AI11*VLOOKUP('Données projet'!$B$10,Paramètres!$A$1:$I$89,3,0)*VLOOKUP('Données projet'!$B$10,Paramètres!$A$1:$I$89,5,0)</f>
        <v>12.98667490100536</v>
      </c>
      <c r="AK11" s="14">
        <f t="shared" si="35"/>
        <v>4.4405715295601897</v>
      </c>
      <c r="AL11" s="22">
        <f t="shared" si="4"/>
        <v>30.352454199901668</v>
      </c>
      <c r="AM11" s="62">
        <f t="shared" si="5"/>
        <v>296.79689864434613</v>
      </c>
      <c r="AN11" s="62">
        <f ca="1">AVERAGE(OFFSET($AM$3,0,0,'Données projet'!$E$10+1,1))-AVERAGE(OFFSET($H$3,0,0,'Données projet'!$E$10+1,1))</f>
        <v>164.0740581424559</v>
      </c>
      <c r="AO11" s="62">
        <f t="shared" si="36"/>
        <v>280.99861170359793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5.7777777777777777</v>
      </c>
      <c r="BD11" s="13">
        <f>IF('Données projet'!$A$88&gt;35,BD10+BC11-BL10,IF(A11&lt;'Données projet'!$A$88,$BA$205^A11,IF(A11='Données projet'!$A$88,'Données projet'!$B$88,BD10+BC11-BL10)))</f>
        <v>7.8787852268093888</v>
      </c>
      <c r="BE11" s="14">
        <f>BD11*VLOOKUP('Données projet'!$B$11,Paramètres!$A$1:$I$89,3,0)*VLOOKUP('Données projet'!$B$11,Paramètres!$A$1:$I$89,5,0)</f>
        <v>3.6872714861467943</v>
      </c>
      <c r="BF11" s="14">
        <f t="shared" si="37"/>
        <v>1.4597977988640713</v>
      </c>
      <c r="BG11" s="22">
        <f t="shared" si="7"/>
        <v>8.9644790047272576</v>
      </c>
      <c r="BH11" s="62">
        <f t="shared" si="8"/>
        <v>275.40892344917171</v>
      </c>
      <c r="BI11" s="62">
        <f ca="1">AVERAGE(OFFSET($BH$3,0,0,'Données projet'!$E$11+1,1))-AVERAGE(OFFSET($H$3,0,0,'Données projet'!$E$11+1,1))</f>
        <v>90.829393941874685</v>
      </c>
      <c r="BJ11" s="62">
        <f t="shared" si="38"/>
        <v>113.5315547498717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1.9</v>
      </c>
      <c r="BY11" s="13">
        <f>IF('Données projet'!$A$114&gt;35,BY10+BX11-CG10,IF(A11&lt;'Données projet'!$A$114,$BV$205^A11,IF(A11='Données projet'!$A$114,'Données projet'!$B$114,BY10+BX11-CG10)))</f>
        <v>10.543938903738736</v>
      </c>
      <c r="BZ11" s="14">
        <f>BY11*VLOOKUP('Données projet'!$B$12,Paramètres!$A$1:$I$89,3,0)*VLOOKUP('Données projet'!$B$12,Paramètres!$A$1:$I$89,5,0)</f>
        <v>6.90838876972962</v>
      </c>
      <c r="CA11" s="14">
        <f t="shared" si="39"/>
        <v>2.5422916931065935</v>
      </c>
      <c r="CB11" s="22">
        <f t="shared" si="10"/>
        <v>16.45993513943974</v>
      </c>
      <c r="CC11" s="62">
        <f t="shared" si="11"/>
        <v>282.90437958388418</v>
      </c>
      <c r="CD11" s="62">
        <f ca="1">AVERAGE(OFFSET($CC$3,0,0,'Données projet'!$E$12+1,1))-AVERAGE(OFFSET($H$3,0,0,'Données projet'!$E$12+1,1))</f>
        <v>211.95495599943246</v>
      </c>
      <c r="CE11" s="62">
        <f t="shared" si="40"/>
        <v>270.47407508916842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8.4</v>
      </c>
      <c r="N12" s="14">
        <f>IF('Données projet'!$A$36&gt;35,N11+M12-V11,IF(A12&lt;'Données projet'!$A$36,$K$205^A12,IF(A12='Données projet'!$A$36,'Données projet'!$B$36,N11+M12-V11)))</f>
        <v>18.206326510930136</v>
      </c>
      <c r="O12" s="14">
        <f>N12*VLOOKUP('Données projet'!$B$9,Paramètres!$A$1:$I$89,3,0)*VLOOKUP('Données projet'!$B$9,Paramètres!$A$1:$I$89,5,0)</f>
        <v>10.177336519609947</v>
      </c>
      <c r="P12" s="14">
        <f t="shared" si="33"/>
        <v>3.5801200227577907</v>
      </c>
      <c r="Q12" s="22">
        <f t="shared" si="2"/>
        <v>23.960903477957146</v>
      </c>
      <c r="R12" s="62">
        <f t="shared" si="0"/>
        <v>291.62757014462386</v>
      </c>
      <c r="S12" s="62">
        <f ca="1">AVERAGE(OFFSET($R$3,0,0,'Données projet'!$E$9+1,1))-AVERAGE(OFFSET($H$3,0,0,'Données projet'!$E$9+1,1))</f>
        <v>446.5364328843699</v>
      </c>
      <c r="T12" s="62">
        <f t="shared" si="34"/>
        <v>559.96606361482179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9.6666666666666661</v>
      </c>
      <c r="AI12" s="14">
        <f>IF('Données projet'!$A$62&gt;35,AI11+AH12-AQ11,IF(A12&lt;'Données projet'!$A$62,$AF$205^A12,IF(A12='Données projet'!$A$62,'Données projet'!$B$62,AI11+AH12-AQ11)))</f>
        <v>35.346261970047209</v>
      </c>
      <c r="AJ12" s="14">
        <f>AI12*VLOOKUP('Données projet'!$B$10,Paramètres!$A$1:$I$89,3,0)*VLOOKUP('Données projet'!$B$10,Paramètres!$A$1:$I$89,5,0)</f>
        <v>19.299059035645776</v>
      </c>
      <c r="AK12" s="14">
        <f t="shared" si="35"/>
        <v>6.301613943558138</v>
      </c>
      <c r="AL12" s="22">
        <f t="shared" si="4"/>
        <v>44.587838772113486</v>
      </c>
      <c r="AM12" s="62">
        <f t="shared" si="5"/>
        <v>312.25450543878014</v>
      </c>
      <c r="AN12" s="62">
        <f ca="1">AVERAGE(OFFSET($AM$3,0,0,'Données projet'!$E$10+1,1))-AVERAGE(OFFSET($H$3,0,0,'Données projet'!$E$10+1,1))</f>
        <v>164.0740581424559</v>
      </c>
      <c r="AO12" s="62">
        <f t="shared" si="36"/>
        <v>280.99861170359793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5.7777777777777777</v>
      </c>
      <c r="BD12" s="13">
        <f>IF('Données projet'!$A$88&gt;35,BD11+BC12-BL11,IF(A12&lt;'Données projet'!$A$88,$BA$205^A12,IF(A12='Données projet'!$A$88,'Données projet'!$B$88,BD11+BC12-BL11)))</f>
        <v>10.198039027185567</v>
      </c>
      <c r="BE12" s="14">
        <f>BD12*VLOOKUP('Données projet'!$B$11,Paramètres!$A$1:$I$89,3,0)*VLOOKUP('Données projet'!$B$11,Paramètres!$A$1:$I$89,5,0)</f>
        <v>4.7726822647228451</v>
      </c>
      <c r="BF12" s="14">
        <f t="shared" si="37"/>
        <v>1.8336085692883657</v>
      </c>
      <c r="BG12" s="22">
        <f t="shared" si="7"/>
        <v>11.505956535902859</v>
      </c>
      <c r="BH12" s="62">
        <f t="shared" si="8"/>
        <v>279.17262320256953</v>
      </c>
      <c r="BI12" s="62">
        <f ca="1">AVERAGE(OFFSET($BH$3,0,0,'Données projet'!$E$11+1,1))-AVERAGE(OFFSET($H$3,0,0,'Données projet'!$E$11+1,1))</f>
        <v>90.829393941874685</v>
      </c>
      <c r="BJ12" s="62">
        <f t="shared" si="38"/>
        <v>113.5315547498717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1.9</v>
      </c>
      <c r="BY12" s="13">
        <f>IF('Données projet'!$A$114&gt;35,BY11+BX12-CG11,IF(A12&lt;'Données projet'!$A$114,$BV$205^A12,IF(A12='Données projet'!$A$114,'Données projet'!$B$114,BY11+BX12-CG11)))</f>
        <v>14.153969025366564</v>
      </c>
      <c r="BZ12" s="14">
        <f>BY12*VLOOKUP('Données projet'!$B$12,Paramètres!$A$1:$I$89,3,0)*VLOOKUP('Données projet'!$B$12,Paramètres!$A$1:$I$89,5,0)</f>
        <v>9.2736805054201739</v>
      </c>
      <c r="CA12" s="14">
        <f t="shared" si="39"/>
        <v>3.2977372248319372</v>
      </c>
      <c r="CB12" s="22">
        <f t="shared" si="10"/>
        <v>21.895219213522427</v>
      </c>
      <c r="CC12" s="62">
        <f t="shared" si="11"/>
        <v>289.5618858801891</v>
      </c>
      <c r="CD12" s="62">
        <f ca="1">AVERAGE(OFFSET($CC$3,0,0,'Données projet'!$E$12+1,1))-AVERAGE(OFFSET($H$3,0,0,'Données projet'!$E$12+1,1))</f>
        <v>211.95495599943246</v>
      </c>
      <c r="CE12" s="62">
        <f t="shared" si="40"/>
        <v>270.47407508916842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8.4</v>
      </c>
      <c r="N13" s="14">
        <f>IF('Données projet'!$A$36&gt;35,N12+M13-V12,IF(A13&lt;'Données projet'!$A$36,$K$205^A13,IF(A13='Données projet'!$A$36,'Données projet'!$B$36,N12+M13-V12)))</f>
        <v>25.133156184720182</v>
      </c>
      <c r="O13" s="14">
        <f>N13*VLOOKUP('Données projet'!$B$9,Paramètres!$A$1:$I$89,3,0)*VLOOKUP('Données projet'!$B$9,Paramètres!$A$1:$I$89,5,0)</f>
        <v>14.049434307258583</v>
      </c>
      <c r="P13" s="14">
        <f t="shared" si="33"/>
        <v>4.7601804251080955</v>
      </c>
      <c r="Q13" s="22">
        <f t="shared" si="2"/>
        <v>32.760078992205301</v>
      </c>
      <c r="R13" s="62">
        <f t="shared" si="0"/>
        <v>301.64896788109417</v>
      </c>
      <c r="S13" s="62">
        <f ca="1">AVERAGE(OFFSET($R$3,0,0,'Données projet'!$E$9+1,1))-AVERAGE(OFFSET($H$3,0,0,'Données projet'!$E$9+1,1))</f>
        <v>446.5364328843699</v>
      </c>
      <c r="T13" s="62">
        <f t="shared" si="34"/>
        <v>559.96606361482179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9.6666666666666661</v>
      </c>
      <c r="AI13" s="14">
        <f>IF('Données projet'!$A$62&gt;35,AI12+AH13-AQ12,IF(A13&lt;'Données projet'!$A$62,$AF$205^A13,IF(A13='Données projet'!$A$62,'Données projet'!$B$62,AI12+AH13-AQ12)))</f>
        <v>52.526886339207103</v>
      </c>
      <c r="AJ13" s="14">
        <f>AI13*VLOOKUP('Données projet'!$B$10,Paramètres!$A$1:$I$89,3,0)*VLOOKUP('Données projet'!$B$10,Paramètres!$A$1:$I$89,5,0)</f>
        <v>28.679679941207077</v>
      </c>
      <c r="AK13" s="14">
        <f t="shared" si="35"/>
        <v>8.9426187663684367</v>
      </c>
      <c r="AL13" s="22">
        <f t="shared" si="4"/>
        <v>65.525503582360685</v>
      </c>
      <c r="AM13" s="62">
        <f t="shared" si="5"/>
        <v>334.41439247124953</v>
      </c>
      <c r="AN13" s="62">
        <f ca="1">AVERAGE(OFFSET($AM$3,0,0,'Données projet'!$E$10+1,1))-AVERAGE(OFFSET($H$3,0,0,'Données projet'!$E$10+1,1))</f>
        <v>164.0740581424559</v>
      </c>
      <c r="AO13" s="62">
        <f t="shared" si="36"/>
        <v>280.99861170359793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5.7777777777777777</v>
      </c>
      <c r="BD13" s="13">
        <f>IF('Données projet'!$A$88&gt;35,BD12+BC13-BL12,IF(A13&lt;'Données projet'!$A$88,$BA$205^A13,IF(A13='Données projet'!$A$88,'Données projet'!$B$88,BD12+BC13-BL12)))</f>
        <v>13.200004443085451</v>
      </c>
      <c r="BE13" s="14">
        <f>BD13*VLOOKUP('Données projet'!$B$11,Paramètres!$A$1:$I$89,3,0)*VLOOKUP('Données projet'!$B$11,Paramètres!$A$1:$I$89,5,0)</f>
        <v>6.1776020793639903</v>
      </c>
      <c r="BF13" s="14">
        <f t="shared" si="37"/>
        <v>2.3031411528253649</v>
      </c>
      <c r="BG13" s="22">
        <f t="shared" si="7"/>
        <v>14.770627796063126</v>
      </c>
      <c r="BH13" s="62">
        <f t="shared" si="8"/>
        <v>283.659516684952</v>
      </c>
      <c r="BI13" s="62">
        <f ca="1">AVERAGE(OFFSET($BH$3,0,0,'Données projet'!$E$11+1,1))-AVERAGE(OFFSET($H$3,0,0,'Données projet'!$E$11+1,1))</f>
        <v>90.829393941874685</v>
      </c>
      <c r="BJ13" s="62">
        <f t="shared" si="38"/>
        <v>113.5315547498717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19</v>
      </c>
      <c r="BW13" s="13">
        <f>VLOOKUP(A13,'Données projet'!$A$113:$I$133,9,0)</f>
        <v>1.9</v>
      </c>
      <c r="BX13" s="13">
        <f t="array" ref="BX13">INDEX(BW:BW,MIN(IF(ISNUMBER(BW13:BW209),ROW(BW13:BW209),"")))</f>
        <v>1.9</v>
      </c>
      <c r="BY13" s="13">
        <f>IF('Données projet'!$A$114&gt;35,BY12+BX13-CG12,IF(A13&lt;'Données projet'!$A$114,$BV$205^A13,IF(A13='Données projet'!$A$114,'Données projet'!$B$114,BY12+BX13-CG12)))</f>
        <v>19</v>
      </c>
      <c r="BZ13" s="14">
        <f>BY13*VLOOKUP('Données projet'!$B$12,Paramètres!$A$1:$I$89,3,0)*VLOOKUP('Données projet'!$B$12,Paramètres!$A$1:$I$89,5,0)</f>
        <v>12.4488</v>
      </c>
      <c r="CA13" s="14">
        <f t="shared" si="39"/>
        <v>4.2776644527179633</v>
      </c>
      <c r="CB13" s="22">
        <f t="shared" si="10"/>
        <v>29.131925588483782</v>
      </c>
      <c r="CC13" s="62">
        <f t="shared" si="11"/>
        <v>298.02081447737265</v>
      </c>
      <c r="CD13" s="62">
        <f ca="1">AVERAGE(OFFSET($CC$3,0,0,'Données projet'!$E$12+1,1))-AVERAGE(OFFSET($H$3,0,0,'Données projet'!$E$12+1,1))</f>
        <v>211.95495599943246</v>
      </c>
      <c r="CE13" s="62">
        <f t="shared" si="40"/>
        <v>270.47407508916842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7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8.4</v>
      </c>
      <c r="N14" s="14">
        <f>IF('Données projet'!$A$36&gt;35,N13+M14-V13,IF(A14&lt;'Données projet'!$A$36,$K$205^A14,IF(A14='Données projet'!$A$36,'Données projet'!$B$36,N13+M14-V13)))</f>
        <v>34.695386761646446</v>
      </c>
      <c r="O14" s="14">
        <f>N14*VLOOKUP('Données projet'!$B$9,Paramètres!$A$1:$I$89,3,0)*VLOOKUP('Données projet'!$B$9,Paramètres!$A$1:$I$89,5,0)</f>
        <v>19.394721199760365</v>
      </c>
      <c r="P14" s="14">
        <f t="shared" si="33"/>
        <v>6.3292061538561635</v>
      </c>
      <c r="Q14" s="22">
        <f t="shared" si="2"/>
        <v>44.802506807548788</v>
      </c>
      <c r="R14" s="62">
        <f t="shared" si="0"/>
        <v>314.91361791865995</v>
      </c>
      <c r="S14" s="62">
        <f ca="1">AVERAGE(OFFSET($R$3,0,0,'Données projet'!$E$9+1,1))-AVERAGE(OFFSET($H$3,0,0,'Données projet'!$E$9+1,1))</f>
        <v>446.5364328843699</v>
      </c>
      <c r="T14" s="62">
        <f t="shared" si="34"/>
        <v>559.96606361482179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9.6666666666666661</v>
      </c>
      <c r="AI14" s="14">
        <f>IF('Données projet'!$A$62&gt;35,AI13+AH14-AQ13,IF(A14&lt;'Données projet'!$A$62,$AF$205^A14,IF(A14='Données projet'!$A$62,'Données projet'!$B$62,AI13+AH14-AQ13)))</f>
        <v>78.058432057965561</v>
      </c>
      <c r="AJ14" s="14">
        <f>AI14*VLOOKUP('Données projet'!$B$10,Paramètres!$A$1:$I$89,3,0)*VLOOKUP('Données projet'!$B$10,Paramètres!$A$1:$I$89,5,0)</f>
        <v>42.619903903649202</v>
      </c>
      <c r="AK14" s="14">
        <f t="shared" si="35"/>
        <v>12.690468047849112</v>
      </c>
      <c r="AL14" s="22">
        <f t="shared" si="4"/>
        <v>96.332231148859549</v>
      </c>
      <c r="AM14" s="62">
        <f t="shared" si="5"/>
        <v>366.44334225997068</v>
      </c>
      <c r="AN14" s="62">
        <f ca="1">AVERAGE(OFFSET($AM$3,0,0,'Données projet'!$E$10+1,1))-AVERAGE(OFFSET($H$3,0,0,'Données projet'!$E$10+1,1))</f>
        <v>164.0740581424559</v>
      </c>
      <c r="AO14" s="62">
        <f t="shared" si="36"/>
        <v>280.99861170359793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5.7777777777777777</v>
      </c>
      <c r="BD14" s="13">
        <f>IF('Données projet'!$A$88&gt;35,BD13+BC14-BL13,IF(A14&lt;'Données projet'!$A$88,$BA$205^A14,IF(A14='Données projet'!$A$88,'Données projet'!$B$88,BD13+BC14-BL13)))</f>
        <v>17.085649195202389</v>
      </c>
      <c r="BE14" s="14">
        <f>BD14*VLOOKUP('Données projet'!$B$11,Paramètres!$A$1:$I$89,3,0)*VLOOKUP('Données projet'!$B$11,Paramètres!$A$1:$I$89,5,0)</f>
        <v>7.9960838233547182</v>
      </c>
      <c r="BF14" s="14">
        <f t="shared" si="37"/>
        <v>2.8929070569824207</v>
      </c>
      <c r="BG14" s="22">
        <f t="shared" si="7"/>
        <v>18.964992449920519</v>
      </c>
      <c r="BH14" s="62">
        <f t="shared" si="8"/>
        <v>289.07610356103169</v>
      </c>
      <c r="BI14" s="62">
        <f ca="1">AVERAGE(OFFSET($BH$3,0,0,'Données projet'!$E$11+1,1))-AVERAGE(OFFSET($H$3,0,0,'Données projet'!$E$11+1,1))</f>
        <v>90.829393941874685</v>
      </c>
      <c r="BJ14" s="62">
        <f t="shared" si="38"/>
        <v>113.5315547498717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14.6</v>
      </c>
      <c r="BY14" s="13">
        <f>IF('Données projet'!$A$114&gt;35,BY13+BX14-CG13,IF(A14&lt;'Données projet'!$A$114,$BV$205^A14,IF(A14='Données projet'!$A$114,'Données projet'!$B$114,BY13+BX14-CG13)))</f>
        <v>26.6</v>
      </c>
      <c r="BZ14" s="14">
        <f>BY14*VLOOKUP('Données projet'!$B$12,Paramètres!$A$1:$I$89,3,0)*VLOOKUP('Données projet'!$B$12,Paramètres!$A$1:$I$89,5,0)</f>
        <v>17.428320000000003</v>
      </c>
      <c r="CA14" s="14">
        <f t="shared" si="39"/>
        <v>5.7587131616514986</v>
      </c>
      <c r="CB14" s="22">
        <f t="shared" si="10"/>
        <v>40.38408275654303</v>
      </c>
      <c r="CC14" s="62">
        <f t="shared" si="11"/>
        <v>310.49519386765417</v>
      </c>
      <c r="CD14" s="62">
        <f ca="1">AVERAGE(OFFSET($CC$3,0,0,'Données projet'!$E$12+1,1))-AVERAGE(OFFSET($H$3,0,0,'Données projet'!$E$12+1,1))</f>
        <v>211.95495599943246</v>
      </c>
      <c r="CE14" s="62">
        <f t="shared" si="40"/>
        <v>270.47407508916842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8.4</v>
      </c>
      <c r="N15" s="14">
        <f>IF('Données projet'!$A$36&gt;35,N14+M15-V14,IF(A15&lt;'Données projet'!$A$36,$K$205^A15,IF(A15='Données projet'!$A$36,'Données projet'!$B$36,N14+M15-V14)))</f>
        <v>47.895690206710654</v>
      </c>
      <c r="O15" s="14">
        <f>N15*VLOOKUP('Données projet'!$B$9,Paramètres!$A$1:$I$89,3,0)*VLOOKUP('Données projet'!$B$9,Paramètres!$A$1:$I$89,5,0)</f>
        <v>26.77369082555126</v>
      </c>
      <c r="P15" s="14">
        <f t="shared" si="33"/>
        <v>8.415405921741101</v>
      </c>
      <c r="Q15" s="22">
        <f t="shared" si="2"/>
        <v>61.287676834867518</v>
      </c>
      <c r="R15" s="62">
        <f t="shared" si="0"/>
        <v>332.62101016820083</v>
      </c>
      <c r="S15" s="62">
        <f ca="1">AVERAGE(OFFSET($R$3,0,0,'Données projet'!$E$9+1,1))-AVERAGE(OFFSET($H$3,0,0,'Données projet'!$E$9+1,1))</f>
        <v>446.5364328843699</v>
      </c>
      <c r="T15" s="62">
        <f t="shared" si="34"/>
        <v>559.96606361482179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116</v>
      </c>
      <c r="AG15" s="13">
        <f>VLOOKUP(A15,'Données projet'!$A$61:$I$81,9,0)</f>
        <v>9.6666666666666661</v>
      </c>
      <c r="AH15" s="13">
        <f t="array" ref="AH15">INDEX(AG:AG,MIN(IF(ISNUMBER(AG15:AG211),ROW(AG15:AG211),"")))</f>
        <v>9.6666666666666661</v>
      </c>
      <c r="AI15" s="14">
        <f>IF('Données projet'!$A$62&gt;35,AI14+AH15-AQ14,IF(A15&lt;'Données projet'!$A$62,$AF$205^A15,IF(A15='Données projet'!$A$62,'Données projet'!$B$62,AI14+AH15-AQ14)))</f>
        <v>116</v>
      </c>
      <c r="AJ15" s="14">
        <f>AI15*VLOOKUP('Données projet'!$B$10,Paramètres!$A$1:$I$89,3,0)*VLOOKUP('Données projet'!$B$10,Paramètres!$A$1:$I$89,5,0)</f>
        <v>63.335999999999999</v>
      </c>
      <c r="AK15" s="14">
        <f t="shared" si="35"/>
        <v>18.009040022946227</v>
      </c>
      <c r="AL15" s="22">
        <f t="shared" si="4"/>
        <v>141.67594470663133</v>
      </c>
      <c r="AM15" s="62">
        <f t="shared" si="5"/>
        <v>413.00927803996467</v>
      </c>
      <c r="AN15" s="62">
        <f ca="1">AVERAGE(OFFSET($AM$3,0,0,'Données projet'!$E$10+1,1))-AVERAGE(OFFSET($H$3,0,0,'Données projet'!$E$10+1,1))</f>
        <v>164.0740581424559</v>
      </c>
      <c r="AO15" s="62">
        <f t="shared" si="36"/>
        <v>280.99861170359793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21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5.7777777777777777</v>
      </c>
      <c r="BD15" s="13">
        <f>IF('Données projet'!$A$88&gt;35,BD14+BC15-BL14,IF(A15&lt;'Données projet'!$A$88,$BA$205^A15,IF(A15='Données projet'!$A$88,'Données projet'!$B$88,BD14+BC15-BL14)))</f>
        <v>22.115099254715481</v>
      </c>
      <c r="BE15" s="14">
        <f>BD15*VLOOKUP('Données projet'!$B$11,Paramètres!$A$1:$I$89,3,0)*VLOOKUP('Données projet'!$B$11,Paramètres!$A$1:$I$89,5,0)</f>
        <v>10.349866451206847</v>
      </c>
      <c r="BF15" s="14">
        <f t="shared" si="37"/>
        <v>3.6336944568387297</v>
      </c>
      <c r="BG15" s="22">
        <f t="shared" si="7"/>
        <v>24.354701914846043</v>
      </c>
      <c r="BH15" s="62">
        <f t="shared" si="8"/>
        <v>295.68803524817935</v>
      </c>
      <c r="BI15" s="62">
        <f ca="1">AVERAGE(OFFSET($BH$3,0,0,'Données projet'!$E$11+1,1))-AVERAGE(OFFSET($H$3,0,0,'Données projet'!$E$11+1,1))</f>
        <v>90.829393941874685</v>
      </c>
      <c r="BJ15" s="62">
        <f t="shared" si="38"/>
        <v>113.5315547498717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14.6</v>
      </c>
      <c r="BY15" s="13">
        <f>IF('Données projet'!$A$114&gt;35,BY14+BX15-CG14,IF(A15&lt;'Données projet'!$A$114,$BV$205^A15,IF(A15='Données projet'!$A$114,'Données projet'!$B$114,BY14+BX15-CG14)))</f>
        <v>41.2</v>
      </c>
      <c r="BZ15" s="14">
        <f>BY15*VLOOKUP('Données projet'!$B$12,Paramètres!$A$1:$I$89,3,0)*VLOOKUP('Données projet'!$B$12,Paramètres!$A$1:$I$89,5,0)</f>
        <v>26.994240000000005</v>
      </c>
      <c r="CA15" s="14">
        <f t="shared" si="39"/>
        <v>8.4766297304562706</v>
      </c>
      <c r="CB15" s="22">
        <f t="shared" si="10"/>
        <v>61.778431447211325</v>
      </c>
      <c r="CC15" s="62">
        <f t="shared" si="11"/>
        <v>333.11176478054466</v>
      </c>
      <c r="CD15" s="62">
        <f ca="1">AVERAGE(OFFSET($CC$3,0,0,'Données projet'!$E$12+1,1))-AVERAGE(OFFSET($H$3,0,0,'Données projet'!$E$12+1,1))</f>
        <v>211.95495599943246</v>
      </c>
      <c r="CE15" s="62">
        <f t="shared" si="40"/>
        <v>270.47407508916842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8.4</v>
      </c>
      <c r="N16" s="14">
        <f>IF('Données projet'!$A$36&gt;35,N15+M16-V15,IF(A16&lt;'Données projet'!$A$36,$K$205^A16,IF(A16='Données projet'!$A$36,'Données projet'!$B$36,N15+M16-V15)))</f>
        <v>66.118217852324591</v>
      </c>
      <c r="O16" s="14">
        <f>N16*VLOOKUP('Données projet'!$B$9,Paramètres!$A$1:$I$89,3,0)*VLOOKUP('Données projet'!$B$9,Paramètres!$A$1:$I$89,5,0)</f>
        <v>36.960083779449448</v>
      </c>
      <c r="P16" s="14">
        <f t="shared" si="33"/>
        <v>11.189247925591365</v>
      </c>
      <c r="Q16" s="22">
        <f t="shared" si="2"/>
        <v>83.860086052946073</v>
      </c>
      <c r="R16" s="62">
        <f t="shared" si="0"/>
        <v>356.41564160850163</v>
      </c>
      <c r="S16" s="62">
        <f ca="1">AVERAGE(OFFSET($R$3,0,0,'Données projet'!$E$9+1,1))-AVERAGE(OFFSET($H$3,0,0,'Données projet'!$E$9+1,1))</f>
        <v>446.5364328843699</v>
      </c>
      <c r="T16" s="62">
        <f t="shared" si="34"/>
        <v>559.96606361482179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24.333333333333332</v>
      </c>
      <c r="AI16" s="14">
        <f>IF('Données projet'!$A$62&gt;35,AI15+AH16-AQ15,IF(A16&lt;'Données projet'!$A$62,$AF$205^A16,IF(A16='Données projet'!$A$62,'Données projet'!$B$62,AI15+AH16-AQ15)))</f>
        <v>119.33333333333334</v>
      </c>
      <c r="AJ16" s="14">
        <f>AI16*VLOOKUP('Données projet'!$B$10,Paramètres!$A$1:$I$89,3,0)*VLOOKUP('Données projet'!$B$10,Paramètres!$A$1:$I$89,5,0)</f>
        <v>65.156000000000006</v>
      </c>
      <c r="AK16" s="14">
        <f t="shared" si="35"/>
        <v>18.465547360043153</v>
      </c>
      <c r="AL16" s="22">
        <f t="shared" si="4"/>
        <v>145.64086165207519</v>
      </c>
      <c r="AM16" s="62">
        <f t="shared" si="5"/>
        <v>418.1964172076307</v>
      </c>
      <c r="AN16" s="62">
        <f ca="1">AVERAGE(OFFSET($AM$3,0,0,'Données projet'!$E$10+1,1))-AVERAGE(OFFSET($H$3,0,0,'Données projet'!$E$10+1,1))</f>
        <v>164.0740581424559</v>
      </c>
      <c r="AO16" s="62">
        <f t="shared" si="36"/>
        <v>280.99861170359793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5.7777777777777777</v>
      </c>
      <c r="BD16" s="13">
        <f>IF('Données projet'!$A$88&gt;35,BD15+BC16-BL15,IF(A16&lt;'Données projet'!$A$88,$BA$205^A16,IF(A16='Données projet'!$A$88,'Données projet'!$B$88,BD15+BC16-BL15)))</f>
        <v>28.625053075726793</v>
      </c>
      <c r="BE16" s="14">
        <f>BD16*VLOOKUP('Données projet'!$B$11,Paramètres!$A$1:$I$89,3,0)*VLOOKUP('Données projet'!$B$11,Paramètres!$A$1:$I$89,5,0)</f>
        <v>13.396524839440138</v>
      </c>
      <c r="BF16" s="14">
        <f t="shared" si="37"/>
        <v>4.5641754628070448</v>
      </c>
      <c r="BG16" s="22">
        <f t="shared" si="7"/>
        <v>31.281553026413842</v>
      </c>
      <c r="BH16" s="62">
        <f t="shared" si="8"/>
        <v>303.8371085819694</v>
      </c>
      <c r="BI16" s="62">
        <f ca="1">AVERAGE(OFFSET($BH$3,0,0,'Données projet'!$E$11+1,1))-AVERAGE(OFFSET($H$3,0,0,'Données projet'!$E$11+1,1))</f>
        <v>90.829393941874685</v>
      </c>
      <c r="BJ16" s="62">
        <f t="shared" si="38"/>
        <v>113.5315547498717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14.6</v>
      </c>
      <c r="BY16" s="13">
        <f>IF('Données projet'!$A$114&gt;35,BY15+BX16-CG15,IF(A16&lt;'Données projet'!$A$114,$BV$205^A16,IF(A16='Données projet'!$A$114,'Données projet'!$B$114,BY15+BX16-CG15)))</f>
        <v>55.800000000000004</v>
      </c>
      <c r="BZ16" s="14">
        <f>BY16*VLOOKUP('Données projet'!$B$12,Paramètres!$A$1:$I$89,3,0)*VLOOKUP('Données projet'!$B$12,Paramètres!$A$1:$I$89,5,0)</f>
        <v>36.560160000000003</v>
      </c>
      <c r="CA16" s="14">
        <f t="shared" si="39"/>
        <v>11.082200703355301</v>
      </c>
      <c r="CB16" s="22">
        <f t="shared" si="10"/>
        <v>82.977111558343836</v>
      </c>
      <c r="CC16" s="62">
        <f t="shared" si="11"/>
        <v>355.53266711389938</v>
      </c>
      <c r="CD16" s="62">
        <f ca="1">AVERAGE(OFFSET($CC$3,0,0,'Données projet'!$E$12+1,1))-AVERAGE(OFFSET($H$3,0,0,'Données projet'!$E$12+1,1))</f>
        <v>211.95495599943246</v>
      </c>
      <c r="CE16" s="62">
        <f t="shared" si="40"/>
        <v>270.47407508916842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8.4</v>
      </c>
      <c r="N17" s="14">
        <f>IF('Données projet'!$A$36&gt;35,N16+M17-V16,IF(A17&lt;'Données projet'!$A$36,$K$205^A17,IF(A17='Données projet'!$A$36,'Données projet'!$B$36,N16+M17-V16)))</f>
        <v>91.273739100537057</v>
      </c>
      <c r="O17" s="14">
        <f>N17*VLOOKUP('Données projet'!$B$9,Paramètres!$A$1:$I$89,3,0)*VLOOKUP('Données projet'!$B$9,Paramètres!$A$1:$I$89,5,0)</f>
        <v>51.02202015720021</v>
      </c>
      <c r="P17" s="14">
        <f t="shared" si="33"/>
        <v>14.877389196033896</v>
      </c>
      <c r="Q17" s="22">
        <f t="shared" si="2"/>
        <v>114.7748046235494</v>
      </c>
      <c r="R17" s="62">
        <f t="shared" si="0"/>
        <v>388.55258240132719</v>
      </c>
      <c r="S17" s="62">
        <f ca="1">AVERAGE(OFFSET($R$3,0,0,'Données projet'!$E$9+1,1))-AVERAGE(OFFSET($H$3,0,0,'Données projet'!$E$9+1,1))</f>
        <v>446.5364328843699</v>
      </c>
      <c r="T17" s="62">
        <f t="shared" si="34"/>
        <v>559.96606361482179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24.333333333333332</v>
      </c>
      <c r="AI17" s="14">
        <f>IF('Données projet'!$A$62&gt;35,AI16+AH17-AQ16,IF(A17&lt;'Données projet'!$A$62,$AF$205^A17,IF(A17='Données projet'!$A$62,'Données projet'!$B$62,AI16+AH17-AQ16)))</f>
        <v>143.66666666666669</v>
      </c>
      <c r="AJ17" s="14">
        <f>AI17*VLOOKUP('Données projet'!$B$10,Paramètres!$A$1:$I$89,3,0)*VLOOKUP('Données projet'!$B$10,Paramètres!$A$1:$I$89,5,0)</f>
        <v>78.442000000000007</v>
      </c>
      <c r="AK17" s="14">
        <f t="shared" si="35"/>
        <v>21.755810093736013</v>
      </c>
      <c r="AL17" s="22">
        <f t="shared" si="4"/>
        <v>174.5111859132569</v>
      </c>
      <c r="AM17" s="62">
        <f t="shared" si="5"/>
        <v>448.28896369103467</v>
      </c>
      <c r="AN17" s="62">
        <f ca="1">AVERAGE(OFFSET($AM$3,0,0,'Données projet'!$E$10+1,1))-AVERAGE(OFFSET($H$3,0,0,'Données projet'!$E$10+1,1))</f>
        <v>164.0740581424559</v>
      </c>
      <c r="AO17" s="62">
        <f t="shared" si="36"/>
        <v>280.99861170359793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5.7777777777777777</v>
      </c>
      <c r="BD17" s="13">
        <f>IF('Données projet'!$A$88&gt;35,BD16+BC17-BL16,IF(A17&lt;'Données projet'!$A$88,$BA$205^A17,IF(A17='Données projet'!$A$88,'Données projet'!$B$88,BD16+BC17-BL16)))</f>
        <v>37.05132200179753</v>
      </c>
      <c r="BE17" s="14">
        <f>BD17*VLOOKUP('Données projet'!$B$11,Paramètres!$A$1:$I$89,3,0)*VLOOKUP('Données projet'!$B$11,Paramètres!$A$1:$I$89,5,0)</f>
        <v>17.340018696841241</v>
      </c>
      <c r="BF17" s="14">
        <f t="shared" si="37"/>
        <v>5.7329249618343594</v>
      </c>
      <c r="BG17" s="22">
        <f t="shared" si="7"/>
        <v>40.185376872193338</v>
      </c>
      <c r="BH17" s="62">
        <f t="shared" si="8"/>
        <v>313.9631546499711</v>
      </c>
      <c r="BI17" s="62">
        <f ca="1">AVERAGE(OFFSET($BH$3,0,0,'Données projet'!$E$11+1,1))-AVERAGE(OFFSET($H$3,0,0,'Données projet'!$E$11+1,1))</f>
        <v>90.829393941874685</v>
      </c>
      <c r="BJ17" s="62">
        <f t="shared" si="38"/>
        <v>113.5315547498717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14.6</v>
      </c>
      <c r="BY17" s="13">
        <f>IF('Données projet'!$A$114&gt;35,BY16+BX17-CG16,IF(A17&lt;'Données projet'!$A$114,$BV$205^A17,IF(A17='Données projet'!$A$114,'Données projet'!$B$114,BY16+BX17-CG16)))</f>
        <v>70.400000000000006</v>
      </c>
      <c r="BZ17" s="14">
        <f>BY17*VLOOKUP('Données projet'!$B$12,Paramètres!$A$1:$I$89,3,0)*VLOOKUP('Données projet'!$B$12,Paramètres!$A$1:$I$89,5,0)</f>
        <v>46.126080000000002</v>
      </c>
      <c r="CA17" s="14">
        <f t="shared" si="39"/>
        <v>13.608655952447116</v>
      </c>
      <c r="CB17" s="22">
        <f t="shared" si="10"/>
        <v>104.03799845051206</v>
      </c>
      <c r="CC17" s="62">
        <f t="shared" si="11"/>
        <v>377.81577622828985</v>
      </c>
      <c r="CD17" s="62">
        <f ca="1">AVERAGE(OFFSET($CC$3,0,0,'Données projet'!$E$12+1,1))-AVERAGE(OFFSET($H$3,0,0,'Données projet'!$E$12+1,1))</f>
        <v>211.95495599943246</v>
      </c>
      <c r="CE17" s="62">
        <f t="shared" si="40"/>
        <v>270.47407508916842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126</v>
      </c>
      <c r="L18" s="13">
        <f>VLOOKUP(A18,'Données projet'!$A$35:$I$55,9,0)</f>
        <v>8.4</v>
      </c>
      <c r="M18" s="13">
        <f t="array" ref="M18">INDEX(L:L,MIN(IF(ISNUMBER(L18:L214),ROW(L18:L214),"")))</f>
        <v>8.4</v>
      </c>
      <c r="N18" s="14">
        <f>IF('Données projet'!$A$36&gt;35,N17+M18-V17,IF(A18&lt;'Données projet'!$A$36,$K$205^A18,IF(A18='Données projet'!$A$36,'Données projet'!$B$36,N17+M18-V17)))</f>
        <v>126</v>
      </c>
      <c r="O18" s="14">
        <f>N18*VLOOKUP('Données projet'!$B$9,Paramètres!$A$1:$I$89,3,0)*VLOOKUP('Données projet'!$B$9,Paramètres!$A$1:$I$89,5,0)</f>
        <v>70.433999999999997</v>
      </c>
      <c r="P18" s="14">
        <f t="shared" si="33"/>
        <v>19.78119626646561</v>
      </c>
      <c r="Q18" s="22">
        <f t="shared" si="2"/>
        <v>157.12480016409424</v>
      </c>
      <c r="R18" s="62">
        <f t="shared" si="0"/>
        <v>432.12480016409427</v>
      </c>
      <c r="S18" s="62">
        <f ca="1">AVERAGE(OFFSET($R$3,0,0,'Données projet'!$E$9+1,1))-AVERAGE(OFFSET($H$3,0,0,'Données projet'!$E$9+1,1))</f>
        <v>446.5364328843699</v>
      </c>
      <c r="T18" s="62">
        <f t="shared" si="34"/>
        <v>559.96606361482179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168</v>
      </c>
      <c r="AG18" s="13">
        <f>VLOOKUP(A18,'Données projet'!$A$61:$I$81,9,0)</f>
        <v>24.333333333333332</v>
      </c>
      <c r="AH18" s="13">
        <f t="array" ref="AH18">INDEX(AG:AG,MIN(IF(ISNUMBER(AG18:AG214),ROW(AG18:AG214),"")))</f>
        <v>24.333333333333332</v>
      </c>
      <c r="AI18" s="14">
        <f>IF('Données projet'!$A$62&gt;35,AI17+AH18-AQ17,IF(A18&lt;'Données projet'!$A$62,$AF$205^A18,IF(A18='Données projet'!$A$62,'Données projet'!$B$62,AI17+AH18-AQ17)))</f>
        <v>168.00000000000003</v>
      </c>
      <c r="AJ18" s="14">
        <f>AI18*VLOOKUP('Données projet'!$B$10,Paramètres!$A$1:$I$89,3,0)*VLOOKUP('Données projet'!$B$10,Paramètres!$A$1:$I$89,5,0)</f>
        <v>91.728000000000009</v>
      </c>
      <c r="AK18" s="14">
        <f t="shared" si="35"/>
        <v>24.981514582386563</v>
      </c>
      <c r="AL18" s="22">
        <f t="shared" si="4"/>
        <v>203.26907123098991</v>
      </c>
      <c r="AM18" s="62">
        <f t="shared" si="5"/>
        <v>478.26907123098988</v>
      </c>
      <c r="AN18" s="62">
        <f ca="1">AVERAGE(OFFSET($AM$3,0,0,'Données projet'!$E$10+1,1))-AVERAGE(OFFSET($H$3,0,0,'Données projet'!$E$10+1,1))</f>
        <v>164.0740581424559</v>
      </c>
      <c r="AO18" s="62">
        <f t="shared" si="36"/>
        <v>280.99861170359793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47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5.7777777777777777</v>
      </c>
      <c r="BD18" s="13">
        <f>IF('Données projet'!$A$88&gt;35,BD17+BC18-BL17,IF(A18&lt;'Données projet'!$A$88,$BA$205^A18,IF(A18='Données projet'!$A$88,'Données projet'!$B$88,BD17+BC18-BL17)))</f>
        <v>47.95800582270293</v>
      </c>
      <c r="BE18" s="14">
        <f>BD18*VLOOKUP('Données projet'!$B$11,Paramètres!$A$1:$I$89,3,0)*VLOOKUP('Données projet'!$B$11,Paramètres!$A$1:$I$89,5,0)</f>
        <v>22.444346725024971</v>
      </c>
      <c r="BF18" s="14">
        <f t="shared" si="37"/>
        <v>7.2009564237502186</v>
      </c>
      <c r="BG18" s="22">
        <f t="shared" si="7"/>
        <v>51.632236317450122</v>
      </c>
      <c r="BH18" s="62">
        <f t="shared" si="8"/>
        <v>326.63223631745012</v>
      </c>
      <c r="BI18" s="62">
        <f ca="1">AVERAGE(OFFSET($BH$3,0,0,'Données projet'!$E$11+1,1))-AVERAGE(OFFSET($H$3,0,0,'Données projet'!$E$11+1,1))</f>
        <v>90.829393941874685</v>
      </c>
      <c r="BJ18" s="62">
        <f t="shared" si="38"/>
        <v>113.5315547498717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85</v>
      </c>
      <c r="BW18" s="13">
        <f>VLOOKUP(A18,'Données projet'!$A$113:$I$133,9,0)</f>
        <v>14.6</v>
      </c>
      <c r="BX18" s="13">
        <f t="array" ref="BX18">INDEX(BW:BW,MIN(IF(ISNUMBER(BW18:BW214),ROW(BW18:BW214),"")))</f>
        <v>14.6</v>
      </c>
      <c r="BY18" s="13">
        <f>IF('Données projet'!$A$114&gt;35,BY17+BX18-CG17,IF(A18&lt;'Données projet'!$A$114,$BV$205^A18,IF(A18='Données projet'!$A$114,'Données projet'!$B$114,BY17+BX18-CG17)))</f>
        <v>85</v>
      </c>
      <c r="BZ18" s="14">
        <f>BY18*VLOOKUP('Données projet'!$B$12,Paramètres!$A$1:$I$89,3,0)*VLOOKUP('Données projet'!$B$12,Paramètres!$A$1:$I$89,5,0)</f>
        <v>55.691999999999993</v>
      </c>
      <c r="CA18" s="14">
        <f t="shared" si="39"/>
        <v>16.074393504165204</v>
      </c>
      <c r="CB18" s="22">
        <f t="shared" si="10"/>
        <v>124.99313535308771</v>
      </c>
      <c r="CC18" s="62">
        <f t="shared" si="11"/>
        <v>399.99313535308772</v>
      </c>
      <c r="CD18" s="62">
        <f ca="1">AVERAGE(OFFSET($CC$3,0,0,'Données projet'!$E$12+1,1))-AVERAGE(OFFSET($H$3,0,0,'Données projet'!$E$12+1,1))</f>
        <v>211.95495599943246</v>
      </c>
      <c r="CE18" s="62">
        <f t="shared" si="40"/>
        <v>270.47407508916842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42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22.4</v>
      </c>
      <c r="N19" s="14">
        <f>IF('Données projet'!$A$36&gt;35,N18+M19-V18,IF(A19&lt;'Données projet'!$A$36,$K$205^A19,IF(A19='Données projet'!$A$36,'Données projet'!$B$36,N18+M19-V18)))</f>
        <v>148.4</v>
      </c>
      <c r="O19" s="14">
        <f>N19*VLOOKUP('Données projet'!$B$9,Paramètres!$A$1:$I$89,3,0)*VLOOKUP('Données projet'!$B$9,Paramètres!$A$1:$I$89,5,0)</f>
        <v>82.955600000000004</v>
      </c>
      <c r="P19" s="14">
        <f t="shared" si="33"/>
        <v>22.858310787063903</v>
      </c>
      <c r="Q19" s="22">
        <f t="shared" si="2"/>
        <v>184.29256128746965</v>
      </c>
      <c r="R19" s="62">
        <f t="shared" si="0"/>
        <v>460.51478350969188</v>
      </c>
      <c r="S19" s="62">
        <f ca="1">AVERAGE(OFFSET($R$3,0,0,'Données projet'!$E$9+1,1))-AVERAGE(OFFSET($H$3,0,0,'Données projet'!$E$9+1,1))</f>
        <v>446.5364328843699</v>
      </c>
      <c r="T19" s="62">
        <f t="shared" si="34"/>
        <v>559.96606361482179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21.333333333333332</v>
      </c>
      <c r="AI19" s="14">
        <f>IF('Données projet'!$A$62&gt;35,AI18+AH19-AQ18,IF(A19&lt;'Données projet'!$A$62,$AF$205^A19,IF(A19='Données projet'!$A$62,'Données projet'!$B$62,AI18+AH19-AQ18)))</f>
        <v>142.33333333333337</v>
      </c>
      <c r="AJ19" s="14">
        <f>AI19*VLOOKUP('Données projet'!$B$10,Paramètres!$A$1:$I$89,3,0)*VLOOKUP('Données projet'!$B$10,Paramètres!$A$1:$I$89,5,0)</f>
        <v>77.714000000000027</v>
      </c>
      <c r="AK19" s="14">
        <f t="shared" si="35"/>
        <v>21.577305655991772</v>
      </c>
      <c r="AL19" s="22">
        <f t="shared" si="4"/>
        <v>172.93235735085239</v>
      </c>
      <c r="AM19" s="62">
        <f t="shared" si="5"/>
        <v>449.15457957307461</v>
      </c>
      <c r="AN19" s="62">
        <f ca="1">AVERAGE(OFFSET($AM$3,0,0,'Données projet'!$E$10+1,1))-AVERAGE(OFFSET($H$3,0,0,'Données projet'!$E$10+1,1))</f>
        <v>164.0740581424559</v>
      </c>
      <c r="AO19" s="62">
        <f t="shared" si="36"/>
        <v>280.99861170359793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5.7777777777777777</v>
      </c>
      <c r="BD19" s="13">
        <f>IF('Données projet'!$A$88&gt;35,BD18+BC19-BL18,IF(A19&lt;'Données projet'!$A$88,$BA$205^A19,IF(A19='Données projet'!$A$88,'Données projet'!$B$88,BD18+BC19-BL18)))</f>
        <v>62.075256650189871</v>
      </c>
      <c r="BE19" s="14">
        <f>BD19*VLOOKUP('Données projet'!$B$11,Paramètres!$A$1:$I$89,3,0)*VLOOKUP('Données projet'!$B$11,Paramètres!$A$1:$I$89,5,0)</f>
        <v>29.051220112288856</v>
      </c>
      <c r="BF19" s="14">
        <f t="shared" si="37"/>
        <v>9.0449070521512436</v>
      </c>
      <c r="BG19" s="22">
        <f t="shared" si="7"/>
        <v>66.350754811399838</v>
      </c>
      <c r="BH19" s="62">
        <f t="shared" si="8"/>
        <v>342.57297703362207</v>
      </c>
      <c r="BI19" s="62">
        <f ca="1">AVERAGE(OFFSET($BH$3,0,0,'Données projet'!$E$11+1,1))-AVERAGE(OFFSET($H$3,0,0,'Données projet'!$E$11+1,1))</f>
        <v>90.829393941874685</v>
      </c>
      <c r="BJ19" s="62">
        <f t="shared" si="38"/>
        <v>113.5315547498717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16</v>
      </c>
      <c r="BY19" s="13">
        <f>IF('Données projet'!$A$114&gt;35,BY18+BX19-CG18,IF(A19&lt;'Données projet'!$A$114,$BV$205^A19,IF(A19='Données projet'!$A$114,'Données projet'!$B$114,BY18+BX19-CG18)))</f>
        <v>59</v>
      </c>
      <c r="BZ19" s="14">
        <f>BY19*VLOOKUP('Données projet'!$B$12,Paramètres!$A$1:$I$89,3,0)*VLOOKUP('Données projet'!$B$12,Paramètres!$A$1:$I$89,5,0)</f>
        <v>38.656799999999997</v>
      </c>
      <c r="CA19" s="14">
        <f t="shared" si="39"/>
        <v>11.641926965635404</v>
      </c>
      <c r="CB19" s="22">
        <f t="shared" si="10"/>
        <v>87.603616131814988</v>
      </c>
      <c r="CC19" s="62">
        <f t="shared" si="11"/>
        <v>363.82583835403722</v>
      </c>
      <c r="CD19" s="62">
        <f ca="1">AVERAGE(OFFSET($CC$3,0,0,'Données projet'!$E$12+1,1))-AVERAGE(OFFSET($H$3,0,0,'Données projet'!$E$12+1,1))</f>
        <v>211.95495599943246</v>
      </c>
      <c r="CE19" s="62">
        <f t="shared" si="40"/>
        <v>270.47407508916842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22.4</v>
      </c>
      <c r="N20" s="14">
        <f>IF('Données projet'!$A$36&gt;35,N19+M20-V19,IF(A20&lt;'Données projet'!$A$36,$K$205^A20,IF(A20='Données projet'!$A$36,'Données projet'!$B$36,N19+M20-V19)))</f>
        <v>170.8</v>
      </c>
      <c r="O20" s="14">
        <f>N20*VLOOKUP('Données projet'!$B$9,Paramètres!$A$1:$I$89,3,0)*VLOOKUP('Données projet'!$B$9,Paramètres!$A$1:$I$89,5,0)</f>
        <v>95.477200000000011</v>
      </c>
      <c r="P20" s="14">
        <f t="shared" si="33"/>
        <v>25.881617647431607</v>
      </c>
      <c r="Q20" s="22">
        <f t="shared" si="2"/>
        <v>211.36660740261004</v>
      </c>
      <c r="R20" s="62">
        <f t="shared" si="0"/>
        <v>488.8110518470545</v>
      </c>
      <c r="S20" s="62">
        <f ca="1">AVERAGE(OFFSET($R$3,0,0,'Données projet'!$E$9+1,1))-AVERAGE(OFFSET($H$3,0,0,'Données projet'!$E$9+1,1))</f>
        <v>446.5364328843699</v>
      </c>
      <c r="T20" s="62">
        <f t="shared" si="34"/>
        <v>559.96606361482179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21.333333333333332</v>
      </c>
      <c r="AI20" s="14">
        <f>IF('Données projet'!$A$62&gt;35,AI19+AH20-AQ19,IF(A20&lt;'Données projet'!$A$62,$AF$205^A20,IF(A20='Données projet'!$A$62,'Données projet'!$B$62,AI19+AH20-AQ19)))</f>
        <v>163.66666666666671</v>
      </c>
      <c r="AJ20" s="14">
        <f>AI20*VLOOKUP('Données projet'!$B$10,Paramètres!$A$1:$I$89,3,0)*VLOOKUP('Données projet'!$B$10,Paramètres!$A$1:$I$89,5,0)</f>
        <v>89.362000000000037</v>
      </c>
      <c r="AK20" s="14">
        <f t="shared" si="35"/>
        <v>24.411291106060958</v>
      </c>
      <c r="AL20" s="22">
        <f t="shared" si="4"/>
        <v>198.15514867638956</v>
      </c>
      <c r="AM20" s="62">
        <f t="shared" si="5"/>
        <v>475.59959312083402</v>
      </c>
      <c r="AN20" s="62">
        <f ca="1">AVERAGE(OFFSET($AM$3,0,0,'Données projet'!$E$10+1,1))-AVERAGE(OFFSET($H$3,0,0,'Données projet'!$E$10+1,1))</f>
        <v>164.0740581424559</v>
      </c>
      <c r="AO20" s="62">
        <f t="shared" si="36"/>
        <v>280.99861170359793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5.7777777777777777</v>
      </c>
      <c r="BD20" s="13">
        <f>IF('Données projet'!$A$88&gt;35,BD19+BC20-BL19,IF(A20&lt;'Données projet'!$A$88,$BA$205^A20,IF(A20='Données projet'!$A$88,'Données projet'!$B$88,BD19+BC20-BL19)))</f>
        <v>80.348159229815238</v>
      </c>
      <c r="BE20" s="14">
        <f>BD20*VLOOKUP('Données projet'!$B$11,Paramètres!$A$1:$I$89,3,0)*VLOOKUP('Données projet'!$B$11,Paramètres!$A$1:$I$89,5,0)</f>
        <v>37.602938519553533</v>
      </c>
      <c r="BF20" s="14">
        <f t="shared" si="37"/>
        <v>11.361038557632181</v>
      </c>
      <c r="BG20" s="22">
        <f t="shared" si="7"/>
        <v>85.278926742765123</v>
      </c>
      <c r="BH20" s="62">
        <f t="shared" si="8"/>
        <v>362.72337118720958</v>
      </c>
      <c r="BI20" s="62">
        <f ca="1">AVERAGE(OFFSET($BH$3,0,0,'Données projet'!$E$11+1,1))-AVERAGE(OFFSET($H$3,0,0,'Données projet'!$E$11+1,1))</f>
        <v>90.829393941874685</v>
      </c>
      <c r="BJ20" s="62">
        <f t="shared" si="38"/>
        <v>113.5315547498717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16</v>
      </c>
      <c r="BY20" s="13">
        <f>IF('Données projet'!$A$114&gt;35,BY19+BX20-CG19,IF(A20&lt;'Données projet'!$A$114,$BV$205^A20,IF(A20='Données projet'!$A$114,'Données projet'!$B$114,BY19+BX20-CG19)))</f>
        <v>75</v>
      </c>
      <c r="BZ20" s="14">
        <f>BY20*VLOOKUP('Données projet'!$B$12,Paramètres!$A$1:$I$89,3,0)*VLOOKUP('Données projet'!$B$12,Paramètres!$A$1:$I$89,5,0)</f>
        <v>49.14</v>
      </c>
      <c r="CA20" s="14">
        <f t="shared" si="39"/>
        <v>14.391437147300868</v>
      </c>
      <c r="CB20" s="22">
        <f t="shared" si="10"/>
        <v>110.65058636488233</v>
      </c>
      <c r="CC20" s="62">
        <f t="shared" si="11"/>
        <v>388.09503080932677</v>
      </c>
      <c r="CD20" s="62">
        <f ca="1">AVERAGE(OFFSET($CC$3,0,0,'Données projet'!$E$12+1,1))-AVERAGE(OFFSET($H$3,0,0,'Données projet'!$E$12+1,1))</f>
        <v>211.95495599943246</v>
      </c>
      <c r="CE20" s="62">
        <f t="shared" si="40"/>
        <v>270.47407508916842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22.4</v>
      </c>
      <c r="N21" s="14">
        <f>IF('Données projet'!$A$36&gt;35,N20+M21-V20,IF(A21&lt;'Données projet'!$A$36,$K$205^A21,IF(A21='Données projet'!$A$36,'Données projet'!$B$36,N20+M21-V20)))</f>
        <v>193.20000000000002</v>
      </c>
      <c r="O21" s="14">
        <f>N21*VLOOKUP('Données projet'!$B$9,Paramètres!$A$1:$I$89,3,0)*VLOOKUP('Données projet'!$B$9,Paramètres!$A$1:$I$89,5,0)</f>
        <v>107.99880000000002</v>
      </c>
      <c r="P21" s="14">
        <f t="shared" si="33"/>
        <v>28.858983600701585</v>
      </c>
      <c r="Q21" s="22">
        <f t="shared" si="2"/>
        <v>238.36063977122194</v>
      </c>
      <c r="R21" s="62">
        <f t="shared" si="0"/>
        <v>517.02730643788868</v>
      </c>
      <c r="S21" s="62">
        <f ca="1">AVERAGE(OFFSET($R$3,0,0,'Données projet'!$E$9+1,1))-AVERAGE(OFFSET($H$3,0,0,'Données projet'!$E$9+1,1))</f>
        <v>446.5364328843699</v>
      </c>
      <c r="T21" s="62">
        <f t="shared" si="34"/>
        <v>559.96606361482179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185</v>
      </c>
      <c r="AG21" s="13">
        <f>VLOOKUP(A21,'Données projet'!$A$61:$I$81,9,0)</f>
        <v>21.333333333333332</v>
      </c>
      <c r="AH21" s="13">
        <f t="array" ref="AH21">INDEX(AG:AG,MIN(IF(ISNUMBER(AG21:AG217),ROW(AG21:AG217),"")))</f>
        <v>21.333333333333332</v>
      </c>
      <c r="AI21" s="14">
        <f>IF('Données projet'!$A$62&gt;35,AI20+AH21-AQ20,IF(A21&lt;'Données projet'!$A$62,$AF$205^A21,IF(A21='Données projet'!$A$62,'Données projet'!$B$62,AI20+AH21-AQ20)))</f>
        <v>185.00000000000006</v>
      </c>
      <c r="AJ21" s="14">
        <f>AI21*VLOOKUP('Données projet'!$B$10,Paramètres!$A$1:$I$89,3,0)*VLOOKUP('Données projet'!$B$10,Paramètres!$A$1:$I$89,5,0)</f>
        <v>101.01000000000002</v>
      </c>
      <c r="AK21" s="14">
        <f t="shared" si="35"/>
        <v>27.202475209169602</v>
      </c>
      <c r="AL21" s="22">
        <f t="shared" si="4"/>
        <v>223.30339432263705</v>
      </c>
      <c r="AM21" s="62">
        <f t="shared" si="5"/>
        <v>501.97006098930376</v>
      </c>
      <c r="AN21" s="62">
        <f ca="1">AVERAGE(OFFSET($AM$3,0,0,'Données projet'!$E$10+1,1))-AVERAGE(OFFSET($H$3,0,0,'Données projet'!$E$10+1,1))</f>
        <v>164.0740581424559</v>
      </c>
      <c r="AO21" s="62">
        <f t="shared" si="36"/>
        <v>280.99861170359793</v>
      </c>
      <c r="AP21" s="16">
        <f>IF(ISNA(VLOOKUP(A21,'Données projet'!$A$61:$I$81,3,0)),0,VLOOKUP(A21,'Données projet'!$A$61:$I$81,3,0))</f>
        <v>3</v>
      </c>
      <c r="AQ21" s="16">
        <f>IF(ISNA(VLOOKUP(A21,'Données projet'!$A$61:$I$81,4,0)),0,VLOOKUP(A21,'Données projet'!$A$61:$I$81,4,0))</f>
        <v>61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0.3</v>
      </c>
      <c r="AT21" s="17">
        <f>IF(ISNA(VLOOKUP(A21,'Données projet'!$A$61:$I$81,7,0)),0%,VLOOKUP(A21,'Données projet'!$A$61:$I$81,7,0))</f>
        <v>0.5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13.20257765879901</v>
      </c>
      <c r="AW21" s="23">
        <f>EXP(-LN(2)/2)*AW20+(1-EXP(-LN(2)/2))/(LN(2)/2)*AQ21*AT21*VLOOKUP('Données projet'!$B$10,Paramètres!$A$1:$I$89,3,0)*0.475*44/12</f>
        <v>18.855064450708237</v>
      </c>
      <c r="AX21" s="23">
        <f t="shared" si="6"/>
        <v>32.057642109507249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104</v>
      </c>
      <c r="BB21" s="13">
        <f>VLOOKUP(A21,'Données projet'!$A$87:$I$107,9,0)</f>
        <v>5.7777777777777777</v>
      </c>
      <c r="BC21" s="13">
        <f t="array" ref="BC21">INDEX(BB:BB,MIN(IF(ISNUMBER(BB21:BB217),ROW(BB21:BB217),"")))</f>
        <v>5.7777777777777777</v>
      </c>
      <c r="BD21" s="13">
        <f>IF('Données projet'!$A$88&gt;35,BD20+BC21-BL20,IF(A21&lt;'Données projet'!$A$88,$BA$205^A21,IF(A21='Données projet'!$A$88,'Données projet'!$B$88,BD20+BC21-BL20)))</f>
        <v>104</v>
      </c>
      <c r="BE21" s="14">
        <f>BD21*VLOOKUP('Données projet'!$B$11,Paramètres!$A$1:$I$89,3,0)*VLOOKUP('Données projet'!$B$11,Paramètres!$A$1:$I$89,5,0)</f>
        <v>48.671999999999997</v>
      </c>
      <c r="BF21" s="14">
        <f t="shared" si="37"/>
        <v>14.270262409972053</v>
      </c>
      <c r="BG21" s="22">
        <f t="shared" si="7"/>
        <v>109.62444036403467</v>
      </c>
      <c r="BH21" s="62">
        <f t="shared" si="8"/>
        <v>388.29110703070137</v>
      </c>
      <c r="BI21" s="62">
        <f ca="1">AVERAGE(OFFSET($BH$3,0,0,'Données projet'!$E$11+1,1))-AVERAGE(OFFSET($H$3,0,0,'Données projet'!$E$11+1,1))</f>
        <v>90.829393941874685</v>
      </c>
      <c r="BJ21" s="62">
        <f t="shared" si="38"/>
        <v>113.5315547498717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20</v>
      </c>
      <c r="BM21" s="17">
        <f>IF(ISNA(VLOOKUP(A21,'Données projet'!$A$87:$I$107,5,0)),0%,VLOOKUP(A21,'Données projet'!$A$87:$I$107,5,0)*VLOOKUP('Données projet'!$B$11,Paramètres!$A$1:$I$89,7,0))</f>
        <v>0.11000000000000001</v>
      </c>
      <c r="BN21" s="17">
        <f>IF(ISNA(VLOOKUP(A21,'Données projet'!$A$87:$I$107,6,0)),0%,VLOOKUP(A21,'Données projet'!$A$87:$I$107,6,0)*VLOOKUP('Données projet'!$B$11,Paramètres!$A$1:$I$89,7,0))</f>
        <v>0.22000000000000003</v>
      </c>
      <c r="BO21" s="17">
        <f>IF(ISNA(VLOOKUP(A21,'Données projet'!$A$87:$I$107,7,0)),0%,VLOOKUP(A21,'Données projet'!$A$87:$I$107,7,0))</f>
        <v>0.4</v>
      </c>
      <c r="BP21" s="23">
        <f>EXP(-LN(2)/35)*BP20+(1-EXP(-LN(2)/35))/(LN(2)/35)*BL21*BM21*VLOOKUP('Données projet'!$B$11,Paramètres!$A$1:$I$89,3,0)*0.475*44/12</f>
        <v>1.3658307633205504</v>
      </c>
      <c r="BQ21" s="23">
        <f>EXP(-LN(2)/25)*BQ20+(1-EXP(-LN(2)/25))/(LN(2)/25)*Calculateur!BL21*Calculateur!BN21*VLOOKUP('Données projet'!$B$11,Paramètres!$A$1:$I$89,3,0)*0.475*44/12</f>
        <v>2.7209059343660731</v>
      </c>
      <c r="BR21" s="23">
        <f>EXP(-LN(2)/2)*BR20+(1-EXP(-LN(2)/2))/(LN(2)/2)*BL21*BO21*VLOOKUP('Données projet'!$B$11,Paramètres!$A$1:$I$89,3,0)*0.475*44/12</f>
        <v>4.2390777219390881</v>
      </c>
      <c r="BS21" s="24">
        <f t="shared" si="9"/>
        <v>8.3258144196257113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16</v>
      </c>
      <c r="BY21" s="13">
        <f>IF('Données projet'!$A$114&gt;35,BY20+BX21-CG20,IF(A21&lt;'Données projet'!$A$114,$BV$205^A21,IF(A21='Données projet'!$A$114,'Données projet'!$B$114,BY20+BX21-CG20)))</f>
        <v>91</v>
      </c>
      <c r="BZ21" s="14">
        <f>BY21*VLOOKUP('Données projet'!$B$12,Paramètres!$A$1:$I$89,3,0)*VLOOKUP('Données projet'!$B$12,Paramètres!$A$1:$I$89,5,0)</f>
        <v>59.623199999999997</v>
      </c>
      <c r="CA21" s="14">
        <f t="shared" si="39"/>
        <v>17.072967249098898</v>
      </c>
      <c r="CB21" s="22">
        <f t="shared" si="10"/>
        <v>133.57915795884722</v>
      </c>
      <c r="CC21" s="62">
        <f t="shared" si="11"/>
        <v>412.24582462551393</v>
      </c>
      <c r="CD21" s="62">
        <f ca="1">AVERAGE(OFFSET($CC$3,0,0,'Données projet'!$E$12+1,1))-AVERAGE(OFFSET($H$3,0,0,'Données projet'!$E$12+1,1))</f>
        <v>211.95495599943246</v>
      </c>
      <c r="CE21" s="62">
        <f t="shared" si="40"/>
        <v>270.47407508916842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22.4</v>
      </c>
      <c r="N22" s="14">
        <f>IF('Données projet'!$A$36&gt;35,N21+M22-V21,IF(A22&lt;'Données projet'!$A$36,$K$205^A22,IF(A22='Données projet'!$A$36,'Données projet'!$B$36,N21+M22-V21)))</f>
        <v>215.60000000000002</v>
      </c>
      <c r="O22" s="14">
        <f>N22*VLOOKUP('Données projet'!$B$9,Paramètres!$A$1:$I$89,3,0)*VLOOKUP('Données projet'!$B$9,Paramètres!$A$1:$I$89,5,0)</f>
        <v>120.52040000000002</v>
      </c>
      <c r="P22" s="14">
        <f t="shared" si="33"/>
        <v>31.796343463250214</v>
      </c>
      <c r="Q22" s="22">
        <f t="shared" si="2"/>
        <v>265.2849948651608</v>
      </c>
      <c r="R22" s="62">
        <f t="shared" si="0"/>
        <v>545.17388375404971</v>
      </c>
      <c r="S22" s="62">
        <f ca="1">AVERAGE(OFFSET($R$3,0,0,'Données projet'!$E$9+1,1))-AVERAGE(OFFSET($H$3,0,0,'Données projet'!$E$9+1,1))</f>
        <v>446.5364328843699</v>
      </c>
      <c r="T22" s="62">
        <f t="shared" si="34"/>
        <v>559.96606361482179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19.166666666666668</v>
      </c>
      <c r="AI22" s="14">
        <f>IF('Données projet'!$A$62&gt;35,AI21+AH22-AQ21,IF(A22&lt;'Données projet'!$A$62,$AF$205^A22,IF(A22='Données projet'!$A$62,'Données projet'!$B$62,AI21+AH22-AQ21)))</f>
        <v>143.16666666666671</v>
      </c>
      <c r="AJ22" s="14">
        <f>AI22*VLOOKUP('Données projet'!$B$10,Paramètres!$A$1:$I$89,3,0)*VLOOKUP('Données projet'!$B$10,Paramètres!$A$1:$I$89,5,0)</f>
        <v>78.169000000000025</v>
      </c>
      <c r="AK22" s="14">
        <f t="shared" si="35"/>
        <v>21.688893622970639</v>
      </c>
      <c r="AL22" s="22">
        <f t="shared" si="4"/>
        <v>173.9191647266739</v>
      </c>
      <c r="AM22" s="62">
        <f t="shared" si="5"/>
        <v>453.80805361556276</v>
      </c>
      <c r="AN22" s="62">
        <f ca="1">AVERAGE(OFFSET($AM$3,0,0,'Données projet'!$E$10+1,1))-AVERAGE(OFFSET($H$3,0,0,'Données projet'!$E$10+1,1))</f>
        <v>164.0740581424559</v>
      </c>
      <c r="AO22" s="62">
        <f t="shared" si="36"/>
        <v>280.99861170359793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12.841552478425767</v>
      </c>
      <c r="AW22" s="23">
        <f>EXP(-LN(2)/2)*AW21+(1-EXP(-LN(2)/2))/(LN(2)/2)*AQ22*AT22*VLOOKUP('Données projet'!$B$10,Paramètres!$A$1:$I$89,3,0)*0.475*44/12</f>
        <v>13.332543932805201</v>
      </c>
      <c r="AX22" s="23">
        <f t="shared" si="6"/>
        <v>26.17409641123097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6.333333333333333</v>
      </c>
      <c r="BD22" s="13">
        <f>IF('Données projet'!$A$88&gt;35,BD21+BC22-BL21,IF(A22&lt;'Données projet'!$A$88,$BA$205^A22,IF(A22='Données projet'!$A$88,'Données projet'!$B$88,BD21+BC22-BL21)))</f>
        <v>90.333333333333329</v>
      </c>
      <c r="BE22" s="14">
        <f>BD22*VLOOKUP('Données projet'!$B$11,Paramètres!$A$1:$I$89,3,0)*VLOOKUP('Données projet'!$B$11,Paramètres!$A$1:$I$89,5,0)</f>
        <v>42.275999999999996</v>
      </c>
      <c r="BF22" s="14">
        <f t="shared" si="37"/>
        <v>12.599944303951819</v>
      </c>
      <c r="BG22" s="22">
        <f t="shared" si="7"/>
        <v>95.575602996049398</v>
      </c>
      <c r="BH22" s="62">
        <f t="shared" si="8"/>
        <v>375.46449188493824</v>
      </c>
      <c r="BI22" s="62">
        <f ca="1">AVERAGE(OFFSET($BH$3,0,0,'Données projet'!$E$11+1,1))-AVERAGE(OFFSET($H$3,0,0,'Données projet'!$E$11+1,1))</f>
        <v>90.829393941874685</v>
      </c>
      <c r="BJ22" s="62">
        <f t="shared" si="38"/>
        <v>113.5315547498717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1.3390476551263408</v>
      </c>
      <c r="BQ22" s="23">
        <f>EXP(-LN(2)/25)*BQ21+(1-EXP(-LN(2)/25))/(LN(2)/25)*Calculateur!BL22*Calculateur!BN22*VLOOKUP('Données projet'!$B$11,Paramètres!$A$1:$I$89,3,0)*0.475*44/12</f>
        <v>2.6465026185046083</v>
      </c>
      <c r="BR22" s="23">
        <f>EXP(-LN(2)/2)*BR21+(1-EXP(-LN(2)/2))/(LN(2)/2)*BL22*BO22*VLOOKUP('Données projet'!$B$11,Paramètres!$A$1:$I$89,3,0)*0.475*44/12</f>
        <v>2.9974806031599512</v>
      </c>
      <c r="BS22" s="24">
        <f t="shared" si="9"/>
        <v>6.9830308767909006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16</v>
      </c>
      <c r="BY22" s="13">
        <f>IF('Données projet'!$A$114&gt;35,BY21+BX22-CG21,IF(A22&lt;'Données projet'!$A$114,$BV$205^A22,IF(A22='Données projet'!$A$114,'Données projet'!$B$114,BY21+BX22-CG21)))</f>
        <v>107</v>
      </c>
      <c r="BZ22" s="14">
        <f>BY22*VLOOKUP('Données projet'!$B$12,Paramètres!$A$1:$I$89,3,0)*VLOOKUP('Données projet'!$B$12,Paramètres!$A$1:$I$89,5,0)</f>
        <v>70.106399999999994</v>
      </c>
      <c r="CA22" s="14">
        <f t="shared" si="39"/>
        <v>19.699878105234674</v>
      </c>
      <c r="CB22" s="22">
        <f t="shared" si="10"/>
        <v>156.41260103328369</v>
      </c>
      <c r="CC22" s="62">
        <f t="shared" si="11"/>
        <v>436.30148992217255</v>
      </c>
      <c r="CD22" s="62">
        <f ca="1">AVERAGE(OFFSET($CC$3,0,0,'Données projet'!$E$12+1,1))-AVERAGE(OFFSET($H$3,0,0,'Données projet'!$E$12+1,1))</f>
        <v>211.95495599943246</v>
      </c>
      <c r="CE22" s="62">
        <f t="shared" si="40"/>
        <v>270.47407508916842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238</v>
      </c>
      <c r="L23" s="13">
        <f>VLOOKUP(A23,'Données projet'!$A$35:$I$55,9,0)</f>
        <v>22.4</v>
      </c>
      <c r="M23" s="13">
        <f t="array" ref="M23">INDEX(L:L,MIN(IF(ISNUMBER(L23:L219),ROW(L23:L219),"")))</f>
        <v>22.4</v>
      </c>
      <c r="N23" s="14">
        <f>IF('Données projet'!$A$36&gt;35,N22+M23-V22,IF(A23&lt;'Données projet'!$A$36,$K$205^A23,IF(A23='Données projet'!$A$36,'Données projet'!$B$36,N22+M23-V22)))</f>
        <v>238.00000000000003</v>
      </c>
      <c r="O23" s="14">
        <f>N23*VLOOKUP('Données projet'!$B$9,Paramètres!$A$1:$I$89,3,0)*VLOOKUP('Données projet'!$B$9,Paramètres!$A$1:$I$89,5,0)</f>
        <v>133.04200000000003</v>
      </c>
      <c r="P23" s="14">
        <f t="shared" si="33"/>
        <v>34.69832716285007</v>
      </c>
      <c r="Q23" s="22">
        <f t="shared" si="2"/>
        <v>292.14773647529722</v>
      </c>
      <c r="R23" s="62">
        <f t="shared" si="0"/>
        <v>573.25884758640836</v>
      </c>
      <c r="S23" s="62">
        <f ca="1">AVERAGE(OFFSET($R$3,0,0,'Données projet'!$E$9+1,1))-AVERAGE(OFFSET($H$3,0,0,'Données projet'!$E$9+1,1))</f>
        <v>446.5364328843699</v>
      </c>
      <c r="T23" s="62">
        <f t="shared" si="34"/>
        <v>559.96606361482179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0.27500000000000002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19.166666666666668</v>
      </c>
      <c r="AI23" s="14">
        <f>IF('Données projet'!$A$62&gt;35,AI22+AH23-AQ22,IF(A23&lt;'Données projet'!$A$62,$AF$205^A23,IF(A23='Données projet'!$A$62,'Données projet'!$B$62,AI22+AH23-AQ22)))</f>
        <v>162.33333333333337</v>
      </c>
      <c r="AJ23" s="14">
        <f>AI23*VLOOKUP('Données projet'!$B$10,Paramètres!$A$1:$I$89,3,0)*VLOOKUP('Données projet'!$B$10,Paramètres!$A$1:$I$89,5,0)</f>
        <v>88.634000000000015</v>
      </c>
      <c r="AK23" s="14">
        <f t="shared" si="35"/>
        <v>24.235486014796273</v>
      </c>
      <c r="AL23" s="22">
        <f t="shared" si="4"/>
        <v>196.58102147577017</v>
      </c>
      <c r="AM23" s="62">
        <f t="shared" si="5"/>
        <v>477.69213258688131</v>
      </c>
      <c r="AN23" s="62">
        <f ca="1">AVERAGE(OFFSET($AM$3,0,0,'Données projet'!$E$10+1,1))-AVERAGE(OFFSET($H$3,0,0,'Données projet'!$E$10+1,1))</f>
        <v>164.0740581424559</v>
      </c>
      <c r="AO23" s="62">
        <f t="shared" si="36"/>
        <v>280.99861170359793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12.490399550595319</v>
      </c>
      <c r="AW23" s="23">
        <f>EXP(-LN(2)/2)*AW22+(1-EXP(-LN(2)/2))/(LN(2)/2)*AQ23*AT23*VLOOKUP('Données projet'!$B$10,Paramètres!$A$1:$I$89,3,0)*0.475*44/12</f>
        <v>9.4275322253541205</v>
      </c>
      <c r="AX23" s="23">
        <f t="shared" si="6"/>
        <v>21.917931775949441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6.333333333333333</v>
      </c>
      <c r="BD23" s="13">
        <f>IF('Données projet'!$A$88&gt;35,BD22+BC23-BL22,IF(A23&lt;'Données projet'!$A$88,$BA$205^A23,IF(A23='Données projet'!$A$88,'Données projet'!$B$88,BD22+BC23-BL22)))</f>
        <v>96.666666666666657</v>
      </c>
      <c r="BE23" s="14">
        <f>BD23*VLOOKUP('Données projet'!$B$11,Paramètres!$A$1:$I$89,3,0)*VLOOKUP('Données projet'!$B$11,Paramètres!$A$1:$I$89,5,0)</f>
        <v>45.239999999999995</v>
      </c>
      <c r="BF23" s="14">
        <f t="shared" si="37"/>
        <v>13.377403626687906</v>
      </c>
      <c r="BG23" s="22">
        <f t="shared" si="7"/>
        <v>102.09197798314808</v>
      </c>
      <c r="BH23" s="62">
        <f t="shared" si="8"/>
        <v>383.20308909425921</v>
      </c>
      <c r="BI23" s="62">
        <f ca="1">AVERAGE(OFFSET($BH$3,0,0,'Données projet'!$E$11+1,1))-AVERAGE(OFFSET($H$3,0,0,'Données projet'!$E$11+1,1))</f>
        <v>90.829393941874685</v>
      </c>
      <c r="BJ23" s="62">
        <f t="shared" si="38"/>
        <v>113.5315547498717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1.3127897473477368</v>
      </c>
      <c r="BQ23" s="23">
        <f>EXP(-LN(2)/25)*BQ22+(1-EXP(-LN(2)/25))/(LN(2)/25)*Calculateur!BL23*Calculateur!BN23*VLOOKUP('Données projet'!$B$11,Paramètres!$A$1:$I$89,3,0)*0.475*44/12</f>
        <v>2.5741338652280756</v>
      </c>
      <c r="BR23" s="23">
        <f>EXP(-LN(2)/2)*BR22+(1-EXP(-LN(2)/2))/(LN(2)/2)*BL23*BO23*VLOOKUP('Données projet'!$B$11,Paramètres!$A$1:$I$89,3,0)*0.475*44/12</f>
        <v>2.1195388609695445</v>
      </c>
      <c r="BS23" s="24">
        <f t="shared" si="9"/>
        <v>6.0064624735453567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123</v>
      </c>
      <c r="BW23" s="13">
        <f>VLOOKUP(A23,'Données projet'!$A$113:$I$133,9,0)</f>
        <v>16</v>
      </c>
      <c r="BX23" s="13">
        <f t="array" ref="BX23">INDEX(BW:BW,MIN(IF(ISNUMBER(BW23:BW219),ROW(BW23:BW219),"")))</f>
        <v>16</v>
      </c>
      <c r="BY23" s="13">
        <f>IF('Données projet'!$A$114&gt;35,BY22+BX23-CG22,IF(A23&lt;'Données projet'!$A$114,$BV$205^A23,IF(A23='Données projet'!$A$114,'Données projet'!$B$114,BY22+BX23-CG22)))</f>
        <v>123</v>
      </c>
      <c r="BZ23" s="14">
        <f>BY23*VLOOKUP('Données projet'!$B$12,Paramètres!$A$1:$I$89,3,0)*VLOOKUP('Données projet'!$B$12,Paramètres!$A$1:$I$89,5,0)</f>
        <v>80.589600000000004</v>
      </c>
      <c r="CA23" s="14">
        <f t="shared" si="39"/>
        <v>22.281282727508763</v>
      </c>
      <c r="CB23" s="22">
        <f t="shared" si="10"/>
        <v>179.16678741707778</v>
      </c>
      <c r="CC23" s="62">
        <f t="shared" si="11"/>
        <v>460.27789852818893</v>
      </c>
      <c r="CD23" s="62">
        <f ca="1">AVERAGE(OFFSET($CC$3,0,0,'Données projet'!$E$12+1,1))-AVERAGE(OFFSET($H$3,0,0,'Données projet'!$E$12+1,1))</f>
        <v>211.95495599943246</v>
      </c>
      <c r="CE23" s="62">
        <f t="shared" si="40"/>
        <v>270.47407508916842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42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0.215</v>
      </c>
      <c r="CJ23" s="17">
        <f>IF(ISNA(VLOOKUP(A23,'Données projet'!$A$113:$I$133,7,0)),0%,VLOOKUP(A23,'Données projet'!$A$113:$I$133,7,0))</f>
        <v>0.5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6.5147145496696757</v>
      </c>
      <c r="CM23" s="23">
        <f>EXP(-LN(2)/2)*CM22+(1-EXP(-LN(2)/2))/(LN(2)/2)*CG23*CJ23*VLOOKUP('Données projet'!$B$12,Paramètres!$A$1:$I$89,3,0)*0.475*44/12</f>
        <v>12.982175523438457</v>
      </c>
      <c r="CN23" s="24">
        <f t="shared" si="12"/>
        <v>19.496890073108133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26.8</v>
      </c>
      <c r="N24" s="14">
        <f>IF('Données projet'!$A$36&gt;35,N23+M24-V23,IF(A24&lt;'Données projet'!$A$36,$K$205^A24,IF(A24='Données projet'!$A$36,'Données projet'!$B$36,N23+M24-V23)))</f>
        <v>264.8</v>
      </c>
      <c r="O24" s="14">
        <f>N24*VLOOKUP('Données projet'!$B$9,Paramètres!$A$1:$I$89,3,0)*VLOOKUP('Données projet'!$B$9,Paramètres!$A$1:$I$89,5,0)</f>
        <v>148.0232</v>
      </c>
      <c r="P24" s="14">
        <f t="shared" si="33"/>
        <v>38.129004463240541</v>
      </c>
      <c r="Q24" s="22">
        <f t="shared" si="2"/>
        <v>324.21508944014391</v>
      </c>
      <c r="R24" s="62">
        <f t="shared" si="0"/>
        <v>606.54842277347723</v>
      </c>
      <c r="S24" s="62">
        <f ca="1">AVERAGE(OFFSET($R$3,0,0,'Données projet'!$E$9+1,1))-AVERAGE(OFFSET($H$3,0,0,'Données projet'!$E$9+1,1))</f>
        <v>446.5364328843699</v>
      </c>
      <c r="T24" s="62">
        <f t="shared" si="34"/>
        <v>559.96606361482179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19.166666666666668</v>
      </c>
      <c r="AI24" s="14">
        <f>IF('Données projet'!$A$62&gt;35,AI23+AH24-AQ23,IF(A24&lt;'Données projet'!$A$62,$AF$205^A24,IF(A24='Données projet'!$A$62,'Données projet'!$B$62,AI23+AH24-AQ23)))</f>
        <v>181.50000000000003</v>
      </c>
      <c r="AJ24" s="14">
        <f>AI24*VLOOKUP('Données projet'!$B$10,Paramètres!$A$1:$I$89,3,0)*VLOOKUP('Données projet'!$B$10,Paramètres!$A$1:$I$89,5,0)</f>
        <v>99.099000000000004</v>
      </c>
      <c r="AK24" s="14">
        <f t="shared" si="35"/>
        <v>26.747233784597075</v>
      </c>
      <c r="AL24" s="22">
        <f t="shared" si="4"/>
        <v>219.18219050817322</v>
      </c>
      <c r="AM24" s="62">
        <f t="shared" si="5"/>
        <v>501.51552384150654</v>
      </c>
      <c r="AN24" s="62">
        <f ca="1">AVERAGE(OFFSET($AM$3,0,0,'Données projet'!$E$10+1,1))-AVERAGE(OFFSET($H$3,0,0,'Données projet'!$E$10+1,1))</f>
        <v>164.0740581424559</v>
      </c>
      <c r="AO24" s="62">
        <f t="shared" si="36"/>
        <v>280.99861170359793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12.148848918042724</v>
      </c>
      <c r="AW24" s="23">
        <f>EXP(-LN(2)/2)*AW23+(1-EXP(-LN(2)/2))/(LN(2)/2)*AQ24*AT24*VLOOKUP('Données projet'!$B$10,Paramètres!$A$1:$I$89,3,0)*0.475*44/12</f>
        <v>6.6662719664026016</v>
      </c>
      <c r="AX24" s="23">
        <f t="shared" si="6"/>
        <v>18.815120884445324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6.333333333333333</v>
      </c>
      <c r="BD24" s="13">
        <f>IF('Données projet'!$A$88&gt;35,BD23+BC24-BL23,IF(A24&lt;'Données projet'!$A$88,$BA$205^A24,IF(A24='Données projet'!$A$88,'Données projet'!$B$88,BD23+BC24-BL23)))</f>
        <v>102.99999999999999</v>
      </c>
      <c r="BE24" s="14">
        <f>BD24*VLOOKUP('Données projet'!$B$11,Paramètres!$A$1:$I$89,3,0)*VLOOKUP('Données projet'!$B$11,Paramètres!$A$1:$I$89,5,0)</f>
        <v>48.203999999999994</v>
      </c>
      <c r="BF24" s="14">
        <f t="shared" si="37"/>
        <v>14.148951972009977</v>
      </c>
      <c r="BG24" s="22">
        <f t="shared" si="7"/>
        <v>108.59805801791737</v>
      </c>
      <c r="BH24" s="62">
        <f t="shared" si="8"/>
        <v>390.93139135125068</v>
      </c>
      <c r="BI24" s="62">
        <f ca="1">AVERAGE(OFFSET($BH$3,0,0,'Données projet'!$E$11+1,1))-AVERAGE(OFFSET($H$3,0,0,'Données projet'!$E$11+1,1))</f>
        <v>90.829393941874685</v>
      </c>
      <c r="BJ24" s="62">
        <f t="shared" si="38"/>
        <v>113.5315547498717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1.2870467411249287</v>
      </c>
      <c r="BQ24" s="23">
        <f>EXP(-LN(2)/25)*BQ23+(1-EXP(-LN(2)/25))/(LN(2)/25)*Calculateur!BL24*Calculateur!BN24*VLOOKUP('Données projet'!$B$11,Paramètres!$A$1:$I$89,3,0)*0.475*44/12</f>
        <v>2.5037440393155972</v>
      </c>
      <c r="BR24" s="23">
        <f>EXP(-LN(2)/2)*BR23+(1-EXP(-LN(2)/2))/(LN(2)/2)*BL24*BO24*VLOOKUP('Données projet'!$B$11,Paramètres!$A$1:$I$89,3,0)*0.475*44/12</f>
        <v>1.4987403015799761</v>
      </c>
      <c r="BS24" s="24">
        <f t="shared" si="9"/>
        <v>5.2895310820205017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16.8</v>
      </c>
      <c r="BY24" s="13">
        <f>IF('Données projet'!$A$114&gt;35,BY23+BX24-CG23,IF(A24&lt;'Données projet'!$A$114,$BV$205^A24,IF(A24='Données projet'!$A$114,'Données projet'!$B$114,BY23+BX24-CG23)))</f>
        <v>97.800000000000011</v>
      </c>
      <c r="BZ24" s="14">
        <f>BY24*VLOOKUP('Données projet'!$B$12,Paramètres!$A$1:$I$89,3,0)*VLOOKUP('Données projet'!$B$12,Paramètres!$A$1:$I$89,5,0)</f>
        <v>64.078559999999996</v>
      </c>
      <c r="CA24" s="14">
        <f t="shared" si="39"/>
        <v>18.195476992759129</v>
      </c>
      <c r="CB24" s="22">
        <f t="shared" si="10"/>
        <v>143.2939477623888</v>
      </c>
      <c r="CC24" s="62">
        <f t="shared" si="11"/>
        <v>425.62728109572208</v>
      </c>
      <c r="CD24" s="62">
        <f ca="1">AVERAGE(OFFSET($CC$3,0,0,'Données projet'!$E$12+1,1))-AVERAGE(OFFSET($H$3,0,0,'Données projet'!$E$12+1,1))</f>
        <v>211.95495599943246</v>
      </c>
      <c r="CE24" s="62">
        <f t="shared" si="40"/>
        <v>270.47407508916842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6.3365693377150096</v>
      </c>
      <c r="CM24" s="23">
        <f>EXP(-LN(2)/2)*CM23+(1-EXP(-LN(2)/2))/(LN(2)/2)*CG24*CJ24*VLOOKUP('Données projet'!$B$12,Paramètres!$A$1:$I$89,3,0)*0.475*44/12</f>
        <v>9.1797843471773497</v>
      </c>
      <c r="CN24" s="24">
        <f t="shared" si="12"/>
        <v>15.516353684892358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26.8</v>
      </c>
      <c r="N25" s="14">
        <f>IF('Données projet'!$A$36&gt;35,N24+M25-V24,IF(A25&lt;'Données projet'!$A$36,$K$205^A25,IF(A25='Données projet'!$A$36,'Données projet'!$B$36,N24+M25-V24)))</f>
        <v>291.60000000000002</v>
      </c>
      <c r="O25" s="14">
        <f>N25*VLOOKUP('Données projet'!$B$9,Paramètres!$A$1:$I$89,3,0)*VLOOKUP('Données projet'!$B$9,Paramètres!$A$1:$I$89,5,0)</f>
        <v>163.0044</v>
      </c>
      <c r="P25" s="14">
        <f t="shared" si="33"/>
        <v>41.519430766049162</v>
      </c>
      <c r="Q25" s="22">
        <f t="shared" si="2"/>
        <v>356.21233858420231</v>
      </c>
      <c r="R25" s="62">
        <f t="shared" si="0"/>
        <v>639.7678941397578</v>
      </c>
      <c r="S25" s="62">
        <f ca="1">AVERAGE(OFFSET($R$3,0,0,'Données projet'!$E$9+1,1))-AVERAGE(OFFSET($H$3,0,0,'Données projet'!$E$9+1,1))</f>
        <v>446.5364328843699</v>
      </c>
      <c r="T25" s="62">
        <f t="shared" si="34"/>
        <v>559.96606361482179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19.166666666666668</v>
      </c>
      <c r="AI25" s="14">
        <f>IF('Données projet'!$A$62&gt;35,AI24+AH25-AQ24,IF(A25&lt;'Données projet'!$A$62,$AF$205^A25,IF(A25='Données projet'!$A$62,'Données projet'!$B$62,AI24+AH25-AQ24)))</f>
        <v>200.66666666666669</v>
      </c>
      <c r="AJ25" s="14">
        <f>AI25*VLOOKUP('Données projet'!$B$10,Paramètres!$A$1:$I$89,3,0)*VLOOKUP('Données projet'!$B$10,Paramètres!$A$1:$I$89,5,0)</f>
        <v>109.56400000000001</v>
      </c>
      <c r="AK25" s="14">
        <f t="shared" si="35"/>
        <v>29.228235839881371</v>
      </c>
      <c r="AL25" s="22">
        <f t="shared" si="4"/>
        <v>241.72981075446003</v>
      </c>
      <c r="AM25" s="62">
        <f t="shared" si="5"/>
        <v>525.28536631001555</v>
      </c>
      <c r="AN25" s="62">
        <f ca="1">AVERAGE(OFFSET($AM$3,0,0,'Données projet'!$E$10+1,1))-AVERAGE(OFFSET($H$3,0,0,'Données projet'!$E$10+1,1))</f>
        <v>164.0740581424559</v>
      </c>
      <c r="AO25" s="62">
        <f t="shared" si="36"/>
        <v>280.99861170359793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11.816638005498648</v>
      </c>
      <c r="AW25" s="23">
        <f>EXP(-LN(2)/2)*AW24+(1-EXP(-LN(2)/2))/(LN(2)/2)*AQ25*AT25*VLOOKUP('Données projet'!$B$10,Paramètres!$A$1:$I$89,3,0)*0.475*44/12</f>
        <v>4.7137661126770602</v>
      </c>
      <c r="AX25" s="23">
        <f t="shared" si="6"/>
        <v>16.53040411817571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6.333333333333333</v>
      </c>
      <c r="BD25" s="13">
        <f>IF('Données projet'!$A$88&gt;35,BD24+BC25-BL24,IF(A25&lt;'Données projet'!$A$88,$BA$205^A25,IF(A25='Données projet'!$A$88,'Données projet'!$B$88,BD24+BC25-BL24)))</f>
        <v>109.33333333333331</v>
      </c>
      <c r="BE25" s="14">
        <f>BD25*VLOOKUP('Données projet'!$B$11,Paramètres!$A$1:$I$89,3,0)*VLOOKUP('Données projet'!$B$11,Paramètres!$A$1:$I$89,5,0)</f>
        <v>51.167999999999992</v>
      </c>
      <c r="BF25" s="14">
        <f t="shared" si="37"/>
        <v>14.914994181638637</v>
      </c>
      <c r="BG25" s="22">
        <f t="shared" si="7"/>
        <v>115.09454819968727</v>
      </c>
      <c r="BH25" s="62">
        <f t="shared" si="8"/>
        <v>398.65010375524281</v>
      </c>
      <c r="BI25" s="62">
        <f ca="1">AVERAGE(OFFSET($BH$3,0,0,'Données projet'!$E$11+1,1))-AVERAGE(OFFSET($H$3,0,0,'Données projet'!$E$11+1,1))</f>
        <v>90.829393941874685</v>
      </c>
      <c r="BJ25" s="62">
        <f t="shared" si="38"/>
        <v>113.5315547498717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1.2618085395524665</v>
      </c>
      <c r="BQ25" s="23">
        <f>EXP(-LN(2)/25)*BQ24+(1-EXP(-LN(2)/25))/(LN(2)/25)*Calculateur!BL25*Calculateur!BN25*VLOOKUP('Données projet'!$B$11,Paramètres!$A$1:$I$89,3,0)*0.475*44/12</f>
        <v>2.4352790268943356</v>
      </c>
      <c r="BR25" s="23">
        <f>EXP(-LN(2)/2)*BR24+(1-EXP(-LN(2)/2))/(LN(2)/2)*BL25*BO25*VLOOKUP('Données projet'!$B$11,Paramètres!$A$1:$I$89,3,0)*0.475*44/12</f>
        <v>1.0597694304847725</v>
      </c>
      <c r="BS25" s="24">
        <f t="shared" si="9"/>
        <v>4.7568569969315746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16.8</v>
      </c>
      <c r="BY25" s="13">
        <f>IF('Données projet'!$A$114&gt;35,BY24+BX25-CG24,IF(A25&lt;'Données projet'!$A$114,$BV$205^A25,IF(A25='Données projet'!$A$114,'Données projet'!$B$114,BY24+BX25-CG24)))</f>
        <v>114.60000000000001</v>
      </c>
      <c r="BZ25" s="14">
        <f>BY25*VLOOKUP('Données projet'!$B$12,Paramètres!$A$1:$I$89,3,0)*VLOOKUP('Données projet'!$B$12,Paramètres!$A$1:$I$89,5,0)</f>
        <v>75.085920000000016</v>
      </c>
      <c r="CA25" s="14">
        <f t="shared" si="39"/>
        <v>20.931269096524034</v>
      </c>
      <c r="CB25" s="22">
        <f t="shared" si="10"/>
        <v>167.22993767644604</v>
      </c>
      <c r="CC25" s="62">
        <f t="shared" si="11"/>
        <v>450.78549323200161</v>
      </c>
      <c r="CD25" s="62">
        <f ca="1">AVERAGE(OFFSET($CC$3,0,0,'Données projet'!$E$12+1,1))-AVERAGE(OFFSET($H$3,0,0,'Données projet'!$E$12+1,1))</f>
        <v>211.95495599943246</v>
      </c>
      <c r="CE25" s="62">
        <f t="shared" si="40"/>
        <v>270.47407508916842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6.1632955159494935</v>
      </c>
      <c r="CM25" s="23">
        <f>EXP(-LN(2)/2)*CM24+(1-EXP(-LN(2)/2))/(LN(2)/2)*CG25*CJ25*VLOOKUP('Données projet'!$B$12,Paramètres!$A$1:$I$89,3,0)*0.475*44/12</f>
        <v>6.4910877617192284</v>
      </c>
      <c r="CN25" s="24">
        <f t="shared" si="12"/>
        <v>12.654383277668721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26.8</v>
      </c>
      <c r="N26" s="14">
        <f>IF('Données projet'!$A$36&gt;35,N25+M26-V25,IF(A26&lt;'Données projet'!$A$36,$K$205^A26,IF(A26='Données projet'!$A$36,'Données projet'!$B$36,N25+M26-V25)))</f>
        <v>318.40000000000003</v>
      </c>
      <c r="O26" s="14">
        <f>N26*VLOOKUP('Données projet'!$B$9,Paramètres!$A$1:$I$89,3,0)*VLOOKUP('Données projet'!$B$9,Paramètres!$A$1:$I$89,5,0)</f>
        <v>177.98560000000001</v>
      </c>
      <c r="P26" s="14">
        <f t="shared" si="33"/>
        <v>44.873726155533582</v>
      </c>
      <c r="Q26" s="22">
        <f t="shared" si="2"/>
        <v>388.14665972088761</v>
      </c>
      <c r="R26" s="62">
        <f t="shared" si="0"/>
        <v>672.92443749866538</v>
      </c>
      <c r="S26" s="62">
        <f ca="1">AVERAGE(OFFSET($R$3,0,0,'Données projet'!$E$9+1,1))-AVERAGE(OFFSET($H$3,0,0,'Données projet'!$E$9+1,1))</f>
        <v>446.5364328843699</v>
      </c>
      <c r="T26" s="62">
        <f t="shared" si="34"/>
        <v>559.96606361482179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19.166666666666668</v>
      </c>
      <c r="AI26" s="14">
        <f>IF('Données projet'!$A$62&gt;35,AI25+AH26-AQ25,IF(A26&lt;'Données projet'!$A$62,$AF$205^A26,IF(A26='Données projet'!$A$62,'Données projet'!$B$62,AI25+AH26-AQ25)))</f>
        <v>219.83333333333334</v>
      </c>
      <c r="AJ26" s="14">
        <f>AI26*VLOOKUP('Données projet'!$B$10,Paramètres!$A$1:$I$89,3,0)*VLOOKUP('Données projet'!$B$10,Paramètres!$A$1:$I$89,5,0)</f>
        <v>120.029</v>
      </c>
      <c r="AK26" s="14">
        <f t="shared" si="35"/>
        <v>31.68176297276506</v>
      </c>
      <c r="AL26" s="22">
        <f t="shared" si="4"/>
        <v>264.22957884423249</v>
      </c>
      <c r="AM26" s="62">
        <f t="shared" si="5"/>
        <v>549.00735662201032</v>
      </c>
      <c r="AN26" s="62">
        <f ca="1">AVERAGE(OFFSET($AM$3,0,0,'Données projet'!$E$10+1,1))-AVERAGE(OFFSET($H$3,0,0,'Données projet'!$E$10+1,1))</f>
        <v>164.0740581424559</v>
      </c>
      <c r="AO26" s="62">
        <f t="shared" si="36"/>
        <v>280.99861170359793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11.493511417828302</v>
      </c>
      <c r="AW26" s="23">
        <f>EXP(-LN(2)/2)*AW25+(1-EXP(-LN(2)/2))/(LN(2)/2)*AQ26*AT26*VLOOKUP('Données projet'!$B$10,Paramètres!$A$1:$I$89,3,0)*0.475*44/12</f>
        <v>3.3331359832013008</v>
      </c>
      <c r="AX26" s="23">
        <f t="shared" si="6"/>
        <v>14.826647401029602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6.333333333333333</v>
      </c>
      <c r="BD26" s="13">
        <f>IF('Données projet'!$A$88&gt;35,BD25+BC26-BL25,IF(A26&lt;'Données projet'!$A$88,$BA$205^A26,IF(A26='Données projet'!$A$88,'Données projet'!$B$88,BD25+BC26-BL25)))</f>
        <v>115.66666666666664</v>
      </c>
      <c r="BE26" s="14">
        <f>BD26*VLOOKUP('Données projet'!$B$11,Paramètres!$A$1:$I$89,3,0)*VLOOKUP('Données projet'!$B$11,Paramètres!$A$1:$I$89,5,0)</f>
        <v>54.131999999999991</v>
      </c>
      <c r="BF26" s="14">
        <f t="shared" si="37"/>
        <v>15.675885545564064</v>
      </c>
      <c r="BG26" s="22">
        <f t="shared" si="7"/>
        <v>121.58206732519072</v>
      </c>
      <c r="BH26" s="62">
        <f t="shared" si="8"/>
        <v>406.35984510296851</v>
      </c>
      <c r="BI26" s="62">
        <f ca="1">AVERAGE(OFFSET($BH$3,0,0,'Données projet'!$E$11+1,1))-AVERAGE(OFFSET($H$3,0,0,'Données projet'!$E$11+1,1))</f>
        <v>90.829393941874685</v>
      </c>
      <c r="BJ26" s="62">
        <f t="shared" si="38"/>
        <v>113.5315547498717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1.2370652437190575</v>
      </c>
      <c r="BQ26" s="23">
        <f>EXP(-LN(2)/25)*BQ25+(1-EXP(-LN(2)/25))/(LN(2)/25)*Calculateur!BL26*Calculateur!BN26*VLOOKUP('Données projet'!$B$11,Paramètres!$A$1:$I$89,3,0)*0.475*44/12</f>
        <v>2.368686193838152</v>
      </c>
      <c r="BR26" s="23">
        <f>EXP(-LN(2)/2)*BR25+(1-EXP(-LN(2)/2))/(LN(2)/2)*BL26*BO26*VLOOKUP('Données projet'!$B$11,Paramètres!$A$1:$I$89,3,0)*0.475*44/12</f>
        <v>0.74937015078998814</v>
      </c>
      <c r="BS26" s="24">
        <f t="shared" si="9"/>
        <v>4.3551215883471981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16.8</v>
      </c>
      <c r="BY26" s="13">
        <f>IF('Données projet'!$A$114&gt;35,BY25+BX26-CG25,IF(A26&lt;'Données projet'!$A$114,$BV$205^A26,IF(A26='Données projet'!$A$114,'Données projet'!$B$114,BY25+BX26-CG25)))</f>
        <v>131.4</v>
      </c>
      <c r="BZ26" s="14">
        <f>BY26*VLOOKUP('Données projet'!$B$12,Paramètres!$A$1:$I$89,3,0)*VLOOKUP('Données projet'!$B$12,Paramètres!$A$1:$I$89,5,0)</f>
        <v>86.093280000000007</v>
      </c>
      <c r="CA26" s="14">
        <f t="shared" si="39"/>
        <v>23.620598504835936</v>
      </c>
      <c r="CB26" s="22">
        <f t="shared" si="10"/>
        <v>191.08500506258926</v>
      </c>
      <c r="CC26" s="62">
        <f t="shared" si="11"/>
        <v>475.862782840367</v>
      </c>
      <c r="CD26" s="62">
        <f ca="1">AVERAGE(OFFSET($CC$3,0,0,'Données projet'!$E$12+1,1))-AVERAGE(OFFSET($H$3,0,0,'Données projet'!$E$12+1,1))</f>
        <v>211.95495599943246</v>
      </c>
      <c r="CE26" s="62">
        <f t="shared" si="40"/>
        <v>270.47407508916842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5.99475987595223</v>
      </c>
      <c r="CM26" s="23">
        <f>EXP(-LN(2)/2)*CM25+(1-EXP(-LN(2)/2))/(LN(2)/2)*CG26*CJ26*VLOOKUP('Données projet'!$B$12,Paramètres!$A$1:$I$89,3,0)*0.475*44/12</f>
        <v>4.5898921735886749</v>
      </c>
      <c r="CN26" s="24">
        <f t="shared" si="12"/>
        <v>10.584652049540905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26.8</v>
      </c>
      <c r="N27" s="14">
        <f>IF('Données projet'!$A$36&gt;35,N26+M27-V26,IF(A27&lt;'Données projet'!$A$36,$K$205^A27,IF(A27='Données projet'!$A$36,'Données projet'!$B$36,N26+M27-V26)))</f>
        <v>345.20000000000005</v>
      </c>
      <c r="O27" s="14">
        <f>N27*VLOOKUP('Données projet'!$B$9,Paramètres!$A$1:$I$89,3,0)*VLOOKUP('Données projet'!$B$9,Paramètres!$A$1:$I$89,5,0)</f>
        <v>192.96680000000001</v>
      </c>
      <c r="P27" s="14">
        <f t="shared" si="33"/>
        <v>48.19527756026767</v>
      </c>
      <c r="Q27" s="22">
        <f t="shared" si="2"/>
        <v>420.02395175079954</v>
      </c>
      <c r="R27" s="62">
        <f t="shared" si="0"/>
        <v>706.0239517507996</v>
      </c>
      <c r="S27" s="62">
        <f ca="1">AVERAGE(OFFSET($R$3,0,0,'Données projet'!$E$9+1,1))-AVERAGE(OFFSET($H$3,0,0,'Données projet'!$E$9+1,1))</f>
        <v>446.5364328843699</v>
      </c>
      <c r="T27" s="62">
        <f t="shared" si="34"/>
        <v>559.96606361482179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239</v>
      </c>
      <c r="AG27" s="13">
        <f>VLOOKUP(A27,'Données projet'!$A$61:$I$81,9,0)</f>
        <v>19.166666666666668</v>
      </c>
      <c r="AH27" s="13">
        <f t="array" ref="AH27">INDEX(AG:AG,MIN(IF(ISNUMBER(AG27:AG223),ROW(AG27:AG223),"")))</f>
        <v>19.166666666666668</v>
      </c>
      <c r="AI27" s="14">
        <f>IF('Données projet'!$A$62&gt;35,AI26+AH27-AQ26,IF(A27&lt;'Données projet'!$A$62,$AF$205^A27,IF(A27='Données projet'!$A$62,'Données projet'!$B$62,AI26+AH27-AQ26)))</f>
        <v>239</v>
      </c>
      <c r="AJ27" s="14">
        <f>AI27*VLOOKUP('Données projet'!$B$10,Paramètres!$A$1:$I$89,3,0)*VLOOKUP('Données projet'!$B$10,Paramètres!$A$1:$I$89,5,0)</f>
        <v>130.494</v>
      </c>
      <c r="AK27" s="14">
        <f t="shared" si="35"/>
        <v>34.110483018610772</v>
      </c>
      <c r="AL27" s="22">
        <f t="shared" si="4"/>
        <v>286.68614125741374</v>
      </c>
      <c r="AM27" s="62">
        <f t="shared" si="5"/>
        <v>572.68614125741374</v>
      </c>
      <c r="AN27" s="62">
        <f ca="1">AVERAGE(OFFSET($AM$3,0,0,'Données projet'!$E$10+1,1))-AVERAGE(OFFSET($H$3,0,0,'Données projet'!$E$10+1,1))</f>
        <v>164.0740581424559</v>
      </c>
      <c r="AO27" s="62">
        <f t="shared" si="36"/>
        <v>280.99861170359793</v>
      </c>
      <c r="AP27" s="16">
        <f>IF(ISNA(VLOOKUP(A27,'Données projet'!$A$61:$I$81,3,0)),0,VLOOKUP(A27,'Données projet'!$A$61:$I$81,3,0))</f>
        <v>4</v>
      </c>
      <c r="AQ27" s="16">
        <f>IF(ISNA(VLOOKUP(A27,'Données projet'!$A$61:$I$81,4,0)),0,VLOOKUP(A27,'Données projet'!$A$61:$I$81,4,0))</f>
        <v>84</v>
      </c>
      <c r="AR27" s="17">
        <f>IF(ISNA(VLOOKUP(A27,'Données projet'!$A$61:$I$81,5,0)),0%,VLOOKUP(A27,'Données projet'!$A$61:$I$81,5,0)*VLOOKUP('Données projet'!$B$10,Paramètres!$A$1:$I$89,7,0))</f>
        <v>0.12</v>
      </c>
      <c r="AS27" s="17">
        <f>IF(ISNA(VLOOKUP(A27,'Données projet'!$A$61:$I$81,6,0)),0%,VLOOKUP(A27,'Données projet'!$A$61:$I$81,6,0)*VLOOKUP('Données projet'!$B$10,Paramètres!$A$1:$I$89,7,0))</f>
        <v>0.3</v>
      </c>
      <c r="AT27" s="17">
        <f>IF(ISNA(VLOOKUP(A27,'Données projet'!$A$61:$I$81,7,0)),0%,VLOOKUP(A27,'Données projet'!$A$61:$I$81,7,0))</f>
        <v>0.3</v>
      </c>
      <c r="AU27" s="23">
        <f>EXP(-LN(2)/35)*AU26+(1-EXP(-LN(2)/35))/(LN(2)/35)*AQ27*AR27*VLOOKUP('Données projet'!$B$10,Paramètres!$A$1:$I$89,3,0)*0.475*44/12</f>
        <v>7.3009862621134873</v>
      </c>
      <c r="AV27" s="23">
        <f>EXP(-LN(2)/25)*AV26+(1-EXP(-LN(2)/25))/(LN(2)/25)*Calculateur!AQ27*Calculateur!AS27*VLOOKUP('Données projet'!$B$10,Paramètres!$A$1:$I$89,3,0)*0.475*44/12</f>
        <v>29.359819486954507</v>
      </c>
      <c r="AW27" s="23">
        <f>EXP(-LN(2)/2)*AW26+(1-EXP(-LN(2)/2))/(LN(2)/2)*AQ27*AT27*VLOOKUP('Données projet'!$B$10,Paramètres!$A$1:$I$89,3,0)*0.475*44/12</f>
        <v>17.935493684464678</v>
      </c>
      <c r="AX27" s="23">
        <f t="shared" si="6"/>
        <v>54.596299433532678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6.333333333333333</v>
      </c>
      <c r="BD27" s="13">
        <f>IF('Données projet'!$A$88&gt;35,BD26+BC27-BL26,IF(A27&lt;'Données projet'!$A$88,$BA$205^A27,IF(A27='Données projet'!$A$88,'Données projet'!$B$88,BD26+BC27-BL26)))</f>
        <v>121.99999999999997</v>
      </c>
      <c r="BE27" s="14">
        <f>BD27*VLOOKUP('Données projet'!$B$11,Paramètres!$A$1:$I$89,3,0)*VLOOKUP('Données projet'!$B$11,Paramètres!$A$1:$I$89,5,0)</f>
        <v>57.095999999999982</v>
      </c>
      <c r="BF27" s="14">
        <f t="shared" si="37"/>
        <v>16.431940248498016</v>
      </c>
      <c r="BG27" s="22">
        <f t="shared" si="7"/>
        <v>128.06116259946734</v>
      </c>
      <c r="BH27" s="62">
        <f t="shared" si="8"/>
        <v>414.06116259946737</v>
      </c>
      <c r="BI27" s="62">
        <f ca="1">AVERAGE(OFFSET($BH$3,0,0,'Données projet'!$E$11+1,1))-AVERAGE(OFFSET($H$3,0,0,'Données projet'!$E$11+1,1))</f>
        <v>90.829393941874685</v>
      </c>
      <c r="BJ27" s="62">
        <f t="shared" si="38"/>
        <v>113.5315547498717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1.2128071488250212</v>
      </c>
      <c r="BQ27" s="23">
        <f>EXP(-LN(2)/25)*BQ26+(1-EXP(-LN(2)/25))/(LN(2)/25)*Calculateur!BL27*Calculateur!BN27*VLOOKUP('Données projet'!$B$11,Paramètres!$A$1:$I$89,3,0)*0.475*44/12</f>
        <v>2.3039143453038546</v>
      </c>
      <c r="BR27" s="23">
        <f>EXP(-LN(2)/2)*BR26+(1-EXP(-LN(2)/2))/(LN(2)/2)*BL27*BO27*VLOOKUP('Données projet'!$B$11,Paramètres!$A$1:$I$89,3,0)*0.475*44/12</f>
        <v>0.52988471524238634</v>
      </c>
      <c r="BS27" s="24">
        <f t="shared" si="9"/>
        <v>4.0466062093712623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16.8</v>
      </c>
      <c r="BY27" s="13">
        <f>IF('Données projet'!$A$114&gt;35,BY26+BX27-CG26,IF(A27&lt;'Données projet'!$A$114,$BV$205^A27,IF(A27='Données projet'!$A$114,'Données projet'!$B$114,BY26+BX27-CG26)))</f>
        <v>148.20000000000002</v>
      </c>
      <c r="BZ27" s="14">
        <f>BY27*VLOOKUP('Données projet'!$B$12,Paramètres!$A$1:$I$89,3,0)*VLOOKUP('Données projet'!$B$12,Paramètres!$A$1:$I$89,5,0)</f>
        <v>97.100640000000013</v>
      </c>
      <c r="CA27" s="14">
        <f t="shared" si="39"/>
        <v>26.270086676172319</v>
      </c>
      <c r="CB27" s="22">
        <f t="shared" si="10"/>
        <v>214.87068229433348</v>
      </c>
      <c r="CC27" s="62">
        <f t="shared" si="11"/>
        <v>500.87068229433351</v>
      </c>
      <c r="CD27" s="62">
        <f ca="1">AVERAGE(OFFSET($CC$3,0,0,'Données projet'!$E$12+1,1))-AVERAGE(OFFSET($H$3,0,0,'Données projet'!$E$12+1,1))</f>
        <v>211.95495599943246</v>
      </c>
      <c r="CE27" s="62">
        <f t="shared" si="40"/>
        <v>270.47407508916842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5.8308328518935957</v>
      </c>
      <c r="CM27" s="23">
        <f>EXP(-LN(2)/2)*CM26+(1-EXP(-LN(2)/2))/(LN(2)/2)*CG27*CJ27*VLOOKUP('Données projet'!$B$12,Paramètres!$A$1:$I$89,3,0)*0.475*44/12</f>
        <v>3.2455438808596142</v>
      </c>
      <c r="CN27" s="24">
        <f t="shared" si="12"/>
        <v>9.0763767327532108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372</v>
      </c>
      <c r="L28" s="13">
        <f>VLOOKUP(A28,'Données projet'!$A$35:$I$55,9,0)</f>
        <v>26.8</v>
      </c>
      <c r="M28" s="13">
        <f t="array" ref="M28">INDEX(L:L,MIN(IF(ISNUMBER(L28:L224),ROW(L28:L224),"")))</f>
        <v>26.8</v>
      </c>
      <c r="N28" s="14">
        <f>IF('Données projet'!$A$36&gt;35,N27+M28-V27,IF(A28&lt;'Données projet'!$A$36,$K$205^A28,IF(A28='Données projet'!$A$36,'Données projet'!$B$36,N27+M28-V27)))</f>
        <v>372.00000000000006</v>
      </c>
      <c r="O28" s="14">
        <f>N28*VLOOKUP('Données projet'!$B$9,Paramètres!$A$1:$I$89,3,0)*VLOOKUP('Données projet'!$B$9,Paramètres!$A$1:$I$89,5,0)</f>
        <v>207.94800000000001</v>
      </c>
      <c r="P28" s="14">
        <f t="shared" si="33"/>
        <v>51.486916127068838</v>
      </c>
      <c r="Q28" s="22">
        <f t="shared" si="2"/>
        <v>451.84914558797823</v>
      </c>
      <c r="R28" s="62">
        <f t="shared" si="0"/>
        <v>739.0713678102004</v>
      </c>
      <c r="S28" s="62">
        <f ca="1">AVERAGE(OFFSET($R$3,0,0,'Données projet'!$E$9+1,1))-AVERAGE(OFFSET($H$3,0,0,'Données projet'!$E$9+1,1))</f>
        <v>446.5364328843699</v>
      </c>
      <c r="T28" s="62">
        <f t="shared" si="34"/>
        <v>559.96606361482179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21</v>
      </c>
      <c r="W28" s="17">
        <f>IF(ISNA(VLOOKUP(A28,'Données projet'!$A$35:$I$55,5,0)),0%,VLOOKUP(A28,'Données projet'!$A$35:$I$55,5,0)*VLOOKUP('Données projet'!$B$9,Paramètres!$A$1:$I$89,7,0))</f>
        <v>0.11000000000000001</v>
      </c>
      <c r="X28" s="17">
        <f>IF(ISNA(VLOOKUP(A28,'Données projet'!$A$35:$I$55,6,0)),0%,VLOOKUP(A28,'Données projet'!$A$35:$I$55,6,0)*VLOOKUP('Données projet'!$B$9,Paramètres!$A$1:$I$89,7,0))</f>
        <v>0.22000000000000003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1.7129794156645239</v>
      </c>
      <c r="AA28" s="23">
        <f>EXP(-LN(2)/25)*AA27+(1-EXP(-LN(2)/25))/(LN(2)/25)*Calculateur!V28*Calculateur!X28*VLOOKUP('Données projet'!$B$9,Paramètres!$A$1:$I$89,3,0)*0.475*44/12</f>
        <v>3.4124695260174498</v>
      </c>
      <c r="AB28" s="23">
        <f>EXP(-LN(2)/2)*AB27+(1-EXP(-LN(2)/2))/(LN(2)/2)*V28*Y28*VLOOKUP('Données projet'!$B$9,Paramètres!$A$1:$I$89,3,0)*0.475*44/12</f>
        <v>5.3165099762652739</v>
      </c>
      <c r="AC28" s="24">
        <f t="shared" si="3"/>
        <v>10.441958917947247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16.666666666666668</v>
      </c>
      <c r="AI28" s="14">
        <f>IF('Données projet'!$A$62&gt;35,AI27+AH28-AQ27,IF(A28&lt;'Données projet'!$A$62,$AF$205^A28,IF(A28='Données projet'!$A$62,'Données projet'!$B$62,AI27+AH28-AQ27)))</f>
        <v>171.66666666666666</v>
      </c>
      <c r="AJ28" s="14">
        <f>AI28*VLOOKUP('Données projet'!$B$10,Paramètres!$A$1:$I$89,3,0)*VLOOKUP('Données projet'!$B$10,Paramètres!$A$1:$I$89,5,0)</f>
        <v>93.72999999999999</v>
      </c>
      <c r="AK28" s="14">
        <f t="shared" si="35"/>
        <v>25.462674063925309</v>
      </c>
      <c r="AL28" s="22">
        <f t="shared" si="4"/>
        <v>207.59390732800321</v>
      </c>
      <c r="AM28" s="62">
        <f t="shared" si="5"/>
        <v>494.81612955022547</v>
      </c>
      <c r="AN28" s="62">
        <f ca="1">AVERAGE(OFFSET($AM$3,0,0,'Données projet'!$E$10+1,1))-AVERAGE(OFFSET($H$3,0,0,'Données projet'!$E$10+1,1))</f>
        <v>164.0740581424559</v>
      </c>
      <c r="AO28" s="62">
        <f t="shared" si="36"/>
        <v>280.99861170359793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7.1578183746753483</v>
      </c>
      <c r="AV28" s="23">
        <f>EXP(-LN(2)/25)*AV27+(1-EXP(-LN(2)/25))/(LN(2)/25)*Calculateur!AQ28*Calculateur!AS28*VLOOKUP('Données projet'!$B$10,Paramètres!$A$1:$I$89,3,0)*0.475*44/12</f>
        <v>28.556973679117931</v>
      </c>
      <c r="AW28" s="23">
        <f>EXP(-LN(2)/2)*AW27+(1-EXP(-LN(2)/2))/(LN(2)/2)*AQ28*AT28*VLOOKUP('Données projet'!$B$10,Paramètres!$A$1:$I$89,3,0)*0.475*44/12</f>
        <v>12.682309208213471</v>
      </c>
      <c r="AX28" s="23">
        <f t="shared" si="6"/>
        <v>48.397101262006757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6.333333333333333</v>
      </c>
      <c r="BD28" s="13">
        <f>IF('Données projet'!$A$88&gt;35,BD27+BC28-BL27,IF(A28&lt;'Données projet'!$A$88,$BA$205^A28,IF(A28='Données projet'!$A$88,'Données projet'!$B$88,BD27+BC28-BL27)))</f>
        <v>128.33333333333331</v>
      </c>
      <c r="BE28" s="14">
        <f>BD28*VLOOKUP('Données projet'!$B$11,Paramètres!$A$1:$I$89,3,0)*VLOOKUP('Données projet'!$B$11,Paramètres!$A$1:$I$89,5,0)</f>
        <v>60.059999999999988</v>
      </c>
      <c r="BF28" s="14">
        <f t="shared" si="37"/>
        <v>17.183438012437968</v>
      </c>
      <c r="BG28" s="22">
        <f t="shared" si="7"/>
        <v>134.53232120499612</v>
      </c>
      <c r="BH28" s="62">
        <f t="shared" si="8"/>
        <v>421.75454342721832</v>
      </c>
      <c r="BI28" s="62">
        <f ca="1">AVERAGE(OFFSET($BH$3,0,0,'Données projet'!$E$11+1,1))-AVERAGE(OFFSET($H$3,0,0,'Données projet'!$E$11+1,1))</f>
        <v>90.829393941874685</v>
      </c>
      <c r="BJ28" s="62">
        <f t="shared" si="38"/>
        <v>113.5315547498717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1.18902474037588</v>
      </c>
      <c r="BQ28" s="23">
        <f>EXP(-LN(2)/25)*BQ27+(1-EXP(-LN(2)/25))/(LN(2)/25)*Calculateur!BL28*Calculateur!BN28*VLOOKUP('Données projet'!$B$11,Paramètres!$A$1:$I$89,3,0)*0.475*44/12</f>
        <v>2.240913686373931</v>
      </c>
      <c r="BR28" s="23">
        <f>EXP(-LN(2)/2)*BR27+(1-EXP(-LN(2)/2))/(LN(2)/2)*BL28*BO28*VLOOKUP('Données projet'!$B$11,Paramètres!$A$1:$I$89,3,0)*0.475*44/12</f>
        <v>0.37468507539499413</v>
      </c>
      <c r="BS28" s="24">
        <f t="shared" si="9"/>
        <v>3.8046235021448052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165</v>
      </c>
      <c r="BW28" s="13">
        <f>VLOOKUP(A28,'Données projet'!$A$113:$I$133,9,0)</f>
        <v>16.8</v>
      </c>
      <c r="BX28" s="13">
        <f t="array" ref="BX28">INDEX(BW:BW,MIN(IF(ISNUMBER(BW28:BW224),ROW(BW28:BW224),"")))</f>
        <v>16.8</v>
      </c>
      <c r="BY28" s="13">
        <f>IF('Données projet'!$A$114&gt;35,BY27+BX28-CG27,IF(A28&lt;'Données projet'!$A$114,$BV$205^A28,IF(A28='Données projet'!$A$114,'Données projet'!$B$114,BY27+BX28-CG27)))</f>
        <v>165.00000000000003</v>
      </c>
      <c r="BZ28" s="14">
        <f>BY28*VLOOKUP('Données projet'!$B$12,Paramètres!$A$1:$I$89,3,0)*VLOOKUP('Données projet'!$B$12,Paramètres!$A$1:$I$89,5,0)</f>
        <v>108.10800000000002</v>
      </c>
      <c r="CA28" s="14">
        <f t="shared" si="39"/>
        <v>28.884765499467161</v>
      </c>
      <c r="CB28" s="22">
        <f t="shared" si="10"/>
        <v>238.59573324490532</v>
      </c>
      <c r="CC28" s="62">
        <f t="shared" si="11"/>
        <v>525.8179554671276</v>
      </c>
      <c r="CD28" s="62">
        <f ca="1">AVERAGE(OFFSET($CC$3,0,0,'Données projet'!$E$12+1,1))-AVERAGE(OFFSET($H$3,0,0,'Données projet'!$E$12+1,1))</f>
        <v>211.95495599943246</v>
      </c>
      <c r="CE28" s="62">
        <f t="shared" si="40"/>
        <v>270.47407508916842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42</v>
      </c>
      <c r="CH28" s="17">
        <f>IF(ISNA(VLOOKUP(A28,'Données projet'!$A$113:$I$133,5,0)),0%,VLOOKUP(A28,'Données projet'!$A$113:$I$133,5,0)*VLOOKUP('Données projet'!$B$12,Paramètres!$A$1:$I$89,7,0))</f>
        <v>4.3000000000000003E-2</v>
      </c>
      <c r="CI28" s="17">
        <f>IF(ISNA(VLOOKUP(A28,'Données projet'!$A$113:$I$133,6,0)),0%,VLOOKUP(A28,'Données projet'!$A$113:$I$133,6,0)*VLOOKUP('Données projet'!$B$12,Paramètres!$A$1:$I$89,7,0))</f>
        <v>0.215</v>
      </c>
      <c r="CJ28" s="17">
        <f>IF(ISNA(VLOOKUP(A28,'Données projet'!$A$113:$I$133,7,0)),0%,VLOOKUP(A28,'Données projet'!$A$113:$I$133,7,0))</f>
        <v>0.4</v>
      </c>
      <c r="CK28" s="23">
        <f>EXP(-LN(2)/35)*CK27+(1-EXP(-LN(2)/35))/(LN(2)/35)*CG28*CH28*VLOOKUP('Données projet'!$B$12,Paramètres!$A$1:$I$89,3,0)*0.475*44/12</f>
        <v>1.3080933719620003</v>
      </c>
      <c r="CL28" s="23">
        <f>EXP(-LN(2)/25)*CL27+(1-EXP(-LN(2)/25))/(LN(2)/25)*Calculateur!CG28*Calculateur!CI28*VLOOKUP('Données projet'!$B$12,Paramètres!$A$1:$I$89,3,0)*0.475*44/12</f>
        <v>12.186102970598068</v>
      </c>
      <c r="CM28" s="23">
        <f>EXP(-LN(2)/2)*CM27+(1-EXP(-LN(2)/2))/(LN(2)/2)*CG28*CJ28*VLOOKUP('Données projet'!$B$12,Paramètres!$A$1:$I$89,3,0)*0.475*44/12</f>
        <v>12.680686505545104</v>
      </c>
      <c r="CN28" s="24">
        <f t="shared" si="12"/>
        <v>26.17488284810517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26.6</v>
      </c>
      <c r="N29" s="14">
        <f>IF('Données projet'!$A$36&gt;35,N28+M29-V28,IF(A29&lt;'Données projet'!$A$36,$K$205^A29,IF(A29='Données projet'!$A$36,'Données projet'!$B$36,N28+M29-V28)))</f>
        <v>377.60000000000008</v>
      </c>
      <c r="O29" s="14">
        <f>N29*VLOOKUP('Données projet'!$B$9,Paramètres!$A$1:$I$89,3,0)*VLOOKUP('Données projet'!$B$9,Paramètres!$A$1:$I$89,5,0)</f>
        <v>211.07840000000004</v>
      </c>
      <c r="P29" s="14">
        <f t="shared" si="33"/>
        <v>52.171172933509965</v>
      </c>
      <c r="Q29" s="22">
        <f t="shared" si="2"/>
        <v>458.49300619252995</v>
      </c>
      <c r="R29" s="62">
        <f t="shared" si="0"/>
        <v>746.9374506369744</v>
      </c>
      <c r="S29" s="62">
        <f ca="1">AVERAGE(OFFSET($R$3,0,0,'Données projet'!$E$9+1,1))-AVERAGE(OFFSET($H$3,0,0,'Données projet'!$E$9+1,1))</f>
        <v>446.5364328843699</v>
      </c>
      <c r="T29" s="62">
        <f t="shared" si="34"/>
        <v>559.96606361482179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1.6793889341376194</v>
      </c>
      <c r="AA29" s="23">
        <f>EXP(-LN(2)/25)*AA28+(1-EXP(-LN(2)/25))/(LN(2)/25)*Calculateur!V29*Calculateur!X29*VLOOKUP('Données projet'!$B$9,Paramètres!$A$1:$I$89,3,0)*0.475*44/12</f>
        <v>3.3191553673745298</v>
      </c>
      <c r="AB29" s="23">
        <f>EXP(-LN(2)/2)*AB28+(1-EXP(-LN(2)/2))/(LN(2)/2)*V29*Y29*VLOOKUP('Données projet'!$B$9,Paramètres!$A$1:$I$89,3,0)*0.475*44/12</f>
        <v>3.7593402564631062</v>
      </c>
      <c r="AC29" s="24">
        <f t="shared" si="3"/>
        <v>8.757884557975256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16.666666666666668</v>
      </c>
      <c r="AI29" s="14">
        <f>IF('Données projet'!$A$62&gt;35,AI28+AH29-AQ28,IF(A29&lt;'Données projet'!$A$62,$AF$205^A29,IF(A29='Données projet'!$A$62,'Données projet'!$B$62,AI28+AH29-AQ28)))</f>
        <v>188.33333333333331</v>
      </c>
      <c r="AJ29" s="14">
        <f>AI29*VLOOKUP('Données projet'!$B$10,Paramètres!$A$1:$I$89,3,0)*VLOOKUP('Données projet'!$B$10,Paramètres!$A$1:$I$89,5,0)</f>
        <v>102.83</v>
      </c>
      <c r="AK29" s="14">
        <f t="shared" si="35"/>
        <v>27.635107084401234</v>
      </c>
      <c r="AL29" s="22">
        <f t="shared" si="4"/>
        <v>227.22672817199881</v>
      </c>
      <c r="AM29" s="62">
        <f t="shared" si="5"/>
        <v>515.6711726164433</v>
      </c>
      <c r="AN29" s="62">
        <f ca="1">AVERAGE(OFFSET($AM$3,0,0,'Données projet'!$E$10+1,1))-AVERAGE(OFFSET($H$3,0,0,'Données projet'!$E$10+1,1))</f>
        <v>164.0740581424559</v>
      </c>
      <c r="AO29" s="62">
        <f t="shared" si="36"/>
        <v>280.99861170359793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7.0174579221860824</v>
      </c>
      <c r="AV29" s="23">
        <f>EXP(-LN(2)/25)*AV28+(1-EXP(-LN(2)/25))/(LN(2)/25)*Calculateur!AQ29*Calculateur!AS29*VLOOKUP('Données projet'!$B$10,Paramètres!$A$1:$I$89,3,0)*0.475*44/12</f>
        <v>27.776081732116474</v>
      </c>
      <c r="AW29" s="23">
        <f>EXP(-LN(2)/2)*AW28+(1-EXP(-LN(2)/2))/(LN(2)/2)*AQ29*AT29*VLOOKUP('Données projet'!$B$10,Paramètres!$A$1:$I$89,3,0)*0.475*44/12</f>
        <v>8.9677468422323408</v>
      </c>
      <c r="AX29" s="23">
        <f t="shared" si="6"/>
        <v>43.761286496534893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6.333333333333333</v>
      </c>
      <c r="BD29" s="13">
        <f>IF('Données projet'!$A$88&gt;35,BD28+BC29-BL28,IF(A29&lt;'Données projet'!$A$88,$BA$205^A29,IF(A29='Données projet'!$A$88,'Données projet'!$B$88,BD28+BC29-BL28)))</f>
        <v>134.66666666666666</v>
      </c>
      <c r="BE29" s="14">
        <f>BD29*VLOOKUP('Données projet'!$B$11,Paramètres!$A$1:$I$89,3,0)*VLOOKUP('Données projet'!$B$11,Paramètres!$A$1:$I$89,5,0)</f>
        <v>63.024000000000001</v>
      </c>
      <c r="BF29" s="14">
        <f t="shared" si="37"/>
        <v>17.930629390740226</v>
      </c>
      <c r="BG29" s="22">
        <f t="shared" si="7"/>
        <v>140.99597952220589</v>
      </c>
      <c r="BH29" s="62">
        <f t="shared" si="8"/>
        <v>429.44042396665031</v>
      </c>
      <c r="BI29" s="62">
        <f ca="1">AVERAGE(OFFSET($BH$3,0,0,'Données projet'!$E$11+1,1))-AVERAGE(OFFSET($H$3,0,0,'Données projet'!$E$11+1,1))</f>
        <v>90.829393941874685</v>
      </c>
      <c r="BJ29" s="62">
        <f t="shared" si="38"/>
        <v>113.5315547498717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1.1657086904505898</v>
      </c>
      <c r="BQ29" s="23">
        <f>EXP(-LN(2)/25)*BQ28+(1-EXP(-LN(2)/25))/(LN(2)/25)*Calculateur!BL29*Calculateur!BN29*VLOOKUP('Données projet'!$B$11,Paramètres!$A$1:$I$89,3,0)*0.475*44/12</f>
        <v>2.1796357837755069</v>
      </c>
      <c r="BR29" s="23">
        <f>EXP(-LN(2)/2)*BR28+(1-EXP(-LN(2)/2))/(LN(2)/2)*BL29*BO29*VLOOKUP('Données projet'!$B$11,Paramètres!$A$1:$I$89,3,0)*0.475*44/12</f>
        <v>0.26494235762119317</v>
      </c>
      <c r="BS29" s="24">
        <f t="shared" si="9"/>
        <v>3.6102868318472896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16.399999999999999</v>
      </c>
      <c r="BY29" s="13">
        <f>IF('Données projet'!$A$114&gt;35,BY28+BX29-CG28,IF(A29&lt;'Données projet'!$A$114,$BV$205^A29,IF(A29='Données projet'!$A$114,'Données projet'!$B$114,BY28+BX29-CG28)))</f>
        <v>139.40000000000003</v>
      </c>
      <c r="BZ29" s="14">
        <f>BY29*VLOOKUP('Données projet'!$B$12,Paramètres!$A$1:$I$89,3,0)*VLOOKUP('Données projet'!$B$12,Paramètres!$A$1:$I$89,5,0)</f>
        <v>91.334880000000013</v>
      </c>
      <c r="CA29" s="14">
        <f t="shared" si="39"/>
        <v>24.886889521433787</v>
      </c>
      <c r="CB29" s="22">
        <f t="shared" si="10"/>
        <v>202.41958191649721</v>
      </c>
      <c r="CC29" s="62">
        <f t="shared" si="11"/>
        <v>490.86402636094169</v>
      </c>
      <c r="CD29" s="62">
        <f ca="1">AVERAGE(OFFSET($CC$3,0,0,'Données projet'!$E$12+1,1))-AVERAGE(OFFSET($H$3,0,0,'Données projet'!$E$12+1,1))</f>
        <v>211.95495599943246</v>
      </c>
      <c r="CE29" s="62">
        <f t="shared" si="40"/>
        <v>270.47407508916842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1.2824424587960004</v>
      </c>
      <c r="CL29" s="23">
        <f>EXP(-LN(2)/25)*CL28+(1-EXP(-LN(2)/25))/(LN(2)/25)*Calculateur!CG29*Calculateur!CI29*VLOOKUP('Données projet'!$B$12,Paramètres!$A$1:$I$89,3,0)*0.475*44/12</f>
        <v>11.85287334402776</v>
      </c>
      <c r="CM29" s="23">
        <f>EXP(-LN(2)/2)*CM28+(1-EXP(-LN(2)/2))/(LN(2)/2)*CG29*CJ29*VLOOKUP('Données projet'!$B$12,Paramètres!$A$1:$I$89,3,0)*0.475*44/12</f>
        <v>8.9665994181716879</v>
      </c>
      <c r="CN29" s="24">
        <f t="shared" si="12"/>
        <v>22.101915220995448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26.6</v>
      </c>
      <c r="N30" s="14">
        <f>IF('Données projet'!$A$36&gt;35,N29+M30-V29,IF(A30&lt;'Données projet'!$A$36,$K$205^A30,IF(A30='Données projet'!$A$36,'Données projet'!$B$36,N29+M30-V29)))</f>
        <v>404.2000000000001</v>
      </c>
      <c r="O30" s="14">
        <f>N30*VLOOKUP('Données projet'!$B$9,Paramètres!$A$1:$I$89,3,0)*VLOOKUP('Données projet'!$B$9,Paramètres!$A$1:$I$89,5,0)</f>
        <v>225.94780000000006</v>
      </c>
      <c r="P30" s="14">
        <f t="shared" si="33"/>
        <v>55.405596784542439</v>
      </c>
      <c r="Q30" s="22">
        <f t="shared" si="2"/>
        <v>490.02383273307811</v>
      </c>
      <c r="R30" s="62">
        <f t="shared" si="0"/>
        <v>779.69049939974479</v>
      </c>
      <c r="S30" s="62">
        <f ca="1">AVERAGE(OFFSET($R$3,0,0,'Données projet'!$E$9+1,1))-AVERAGE(OFFSET($H$3,0,0,'Données projet'!$E$9+1,1))</f>
        <v>446.5364328843699</v>
      </c>
      <c r="T30" s="62">
        <f t="shared" si="34"/>
        <v>559.96606361482179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1.6464571414652867</v>
      </c>
      <c r="AA30" s="23">
        <f>EXP(-LN(2)/25)*AA29+(1-EXP(-LN(2)/25))/(LN(2)/25)*Calculateur!V30*Calculateur!X30*VLOOKUP('Données projet'!$B$9,Paramètres!$A$1:$I$89,3,0)*0.475*44/12</f>
        <v>3.2283928893068783</v>
      </c>
      <c r="AB30" s="23">
        <f>EXP(-LN(2)/2)*AB29+(1-EXP(-LN(2)/2))/(LN(2)/2)*V30*Y30*VLOOKUP('Données projet'!$B$9,Paramètres!$A$1:$I$89,3,0)*0.475*44/12</f>
        <v>2.6582549881326374</v>
      </c>
      <c r="AC30" s="24">
        <f t="shared" si="3"/>
        <v>7.5331050189048021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16.666666666666668</v>
      </c>
      <c r="AI30" s="14">
        <f>IF('Données projet'!$A$62&gt;35,AI29+AH30-AQ29,IF(A30&lt;'Données projet'!$A$62,$AF$205^A30,IF(A30='Données projet'!$A$62,'Données projet'!$B$62,AI29+AH30-AQ29)))</f>
        <v>204.99999999999997</v>
      </c>
      <c r="AJ30" s="14">
        <f>AI30*VLOOKUP('Données projet'!$B$10,Paramètres!$A$1:$I$89,3,0)*VLOOKUP('Données projet'!$B$10,Paramètres!$A$1:$I$89,5,0)</f>
        <v>111.92999999999998</v>
      </c>
      <c r="AK30" s="14">
        <f t="shared" si="35"/>
        <v>29.785246291563833</v>
      </c>
      <c r="AL30" s="22">
        <f t="shared" si="4"/>
        <v>246.82072062447358</v>
      </c>
      <c r="AM30" s="62">
        <f t="shared" si="5"/>
        <v>536.48738729114029</v>
      </c>
      <c r="AN30" s="62">
        <f ca="1">AVERAGE(OFFSET($AM$3,0,0,'Données projet'!$E$10+1,1))-AVERAGE(OFFSET($H$3,0,0,'Données projet'!$E$10+1,1))</f>
        <v>164.0740581424559</v>
      </c>
      <c r="AO30" s="62">
        <f t="shared" si="36"/>
        <v>280.99861170359793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6.8798498525587082</v>
      </c>
      <c r="AV30" s="23">
        <f>EXP(-LN(2)/25)*AV29+(1-EXP(-LN(2)/25))/(LN(2)/25)*Calculateur!AQ30*Calculateur!AS30*VLOOKUP('Données projet'!$B$10,Paramètres!$A$1:$I$89,3,0)*0.475*44/12</f>
        <v>27.016543316471093</v>
      </c>
      <c r="AW30" s="23">
        <f>EXP(-LN(2)/2)*AW29+(1-EXP(-LN(2)/2))/(LN(2)/2)*AQ30*AT30*VLOOKUP('Données projet'!$B$10,Paramètres!$A$1:$I$89,3,0)*0.475*44/12</f>
        <v>6.3411546041067366</v>
      </c>
      <c r="AX30" s="23">
        <f t="shared" si="6"/>
        <v>40.237547773136534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141</v>
      </c>
      <c r="BB30" s="13">
        <f>VLOOKUP(A30,'Données projet'!$A$87:$I$107,9,0)</f>
        <v>6.333333333333333</v>
      </c>
      <c r="BC30" s="13">
        <f t="array" ref="BC30">INDEX(BB:BB,MIN(IF(ISNUMBER(BB30:BB226),ROW(BB30:BB226),"")))</f>
        <v>6.333333333333333</v>
      </c>
      <c r="BD30" s="13">
        <f>IF('Données projet'!$A$88&gt;35,BD29+BC30-BL29,IF(A30&lt;'Données projet'!$A$88,$BA$205^A30,IF(A30='Données projet'!$A$88,'Données projet'!$B$88,BD29+BC30-BL29)))</f>
        <v>141</v>
      </c>
      <c r="BE30" s="14">
        <f>BD30*VLOOKUP('Données projet'!$B$11,Paramètres!$A$1:$I$89,3,0)*VLOOKUP('Données projet'!$B$11,Paramètres!$A$1:$I$89,5,0)</f>
        <v>65.988</v>
      </c>
      <c r="BF30" s="14">
        <f t="shared" si="37"/>
        <v>18.67374003807944</v>
      </c>
      <c r="BG30" s="22">
        <f t="shared" si="7"/>
        <v>147.45253056632168</v>
      </c>
      <c r="BH30" s="62">
        <f t="shared" si="8"/>
        <v>437.11919723298837</v>
      </c>
      <c r="BI30" s="62">
        <f ca="1">AVERAGE(OFFSET($BH$3,0,0,'Données projet'!$E$11+1,1))-AVERAGE(OFFSET($H$3,0,0,'Données projet'!$E$11+1,1))</f>
        <v>90.829393941874685</v>
      </c>
      <c r="BJ30" s="62">
        <f t="shared" si="38"/>
        <v>113.5315547498717</v>
      </c>
      <c r="BK30" s="16">
        <f>IF(ISNA(VLOOKUP(A30,'Données projet'!$A$87:$I$107,3,0)),0,VLOOKUP(A30,'Données projet'!$A$87:$I$107,3,0))</f>
        <v>2</v>
      </c>
      <c r="BL30" s="16">
        <f>IF(ISNA(VLOOKUP(A30,'Données projet'!$A$87:$I$107,4,0)),0,VLOOKUP(A30,'Données projet'!$A$87:$I$107,4,0))</f>
        <v>30</v>
      </c>
      <c r="BM30" s="17">
        <f>IF(ISNA(VLOOKUP(A30,'Données projet'!$A$87:$I$107,5,0)),0%,VLOOKUP(A30,'Données projet'!$A$87:$I$107,5,0)*VLOOKUP('Données projet'!$B$11,Paramètres!$A$1:$I$89,7,0))</f>
        <v>0.11000000000000001</v>
      </c>
      <c r="BN30" s="17">
        <f>IF(ISNA(VLOOKUP(A30,'Données projet'!$A$87:$I$107,6,0)),0%,VLOOKUP(A30,'Données projet'!$A$87:$I$107,6,0)*VLOOKUP('Données projet'!$B$11,Paramètres!$A$1:$I$89,7,0))</f>
        <v>0.22000000000000003</v>
      </c>
      <c r="BO30" s="17">
        <f>IF(ISNA(VLOOKUP(A30,'Données projet'!$A$87:$I$107,7,0)),0%,VLOOKUP(A30,'Données projet'!$A$87:$I$107,7,0))</f>
        <v>0.4</v>
      </c>
      <c r="BP30" s="23">
        <f>EXP(-LN(2)/35)*BP29+(1-EXP(-LN(2)/35))/(LN(2)/35)*BL30*BM30*VLOOKUP('Données projet'!$B$11,Paramètres!$A$1:$I$89,3,0)*0.475*44/12</f>
        <v>3.1915959990237743</v>
      </c>
      <c r="BQ30" s="23">
        <f>EXP(-LN(2)/25)*BQ29+(1-EXP(-LN(2)/25))/(LN(2)/25)*Calculateur!BL30*Calculateur!BN30*VLOOKUP('Données projet'!$B$11,Paramètres!$A$1:$I$89,3,0)*0.475*44/12</f>
        <v>6.2013924301952104</v>
      </c>
      <c r="BR30" s="23">
        <f>EXP(-LN(2)/2)*BR29+(1-EXP(-LN(2)/2))/(LN(2)/2)*BL30*BO30*VLOOKUP('Données projet'!$B$11,Paramètres!$A$1:$I$89,3,0)*0.475*44/12</f>
        <v>6.5459591206061294</v>
      </c>
      <c r="BS30" s="24">
        <f t="shared" si="9"/>
        <v>15.938947549825114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16.399999999999999</v>
      </c>
      <c r="BY30" s="13">
        <f>IF('Données projet'!$A$114&gt;35,BY29+BX30-CG29,IF(A30&lt;'Données projet'!$A$114,$BV$205^A30,IF(A30='Données projet'!$A$114,'Données projet'!$B$114,BY29+BX30-CG29)))</f>
        <v>155.80000000000004</v>
      </c>
      <c r="BZ30" s="14">
        <f>BY30*VLOOKUP('Données projet'!$B$12,Paramètres!$A$1:$I$89,3,0)*VLOOKUP('Données projet'!$B$12,Paramètres!$A$1:$I$89,5,0)</f>
        <v>102.08016000000003</v>
      </c>
      <c r="CA30" s="14">
        <f t="shared" si="39"/>
        <v>27.456971614793193</v>
      </c>
      <c r="CB30" s="22">
        <f t="shared" si="10"/>
        <v>225.61050422909818</v>
      </c>
      <c r="CC30" s="62">
        <f t="shared" si="11"/>
        <v>515.27717089576481</v>
      </c>
      <c r="CD30" s="62">
        <f ca="1">AVERAGE(OFFSET($CC$3,0,0,'Données projet'!$E$12+1,1))-AVERAGE(OFFSET($H$3,0,0,'Données projet'!$E$12+1,1))</f>
        <v>211.95495599943246</v>
      </c>
      <c r="CE30" s="62">
        <f t="shared" si="40"/>
        <v>270.47407508916842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1.2572945443916737</v>
      </c>
      <c r="CL30" s="23">
        <f>EXP(-LN(2)/25)*CL29+(1-EXP(-LN(2)/25))/(LN(2)/25)*Calculateur!CG30*Calculateur!CI30*VLOOKUP('Données projet'!$B$12,Paramètres!$A$1:$I$89,3,0)*0.475*44/12</f>
        <v>11.528755899119801</v>
      </c>
      <c r="CM30" s="23">
        <f>EXP(-LN(2)/2)*CM29+(1-EXP(-LN(2)/2))/(LN(2)/2)*CG30*CJ30*VLOOKUP('Données projet'!$B$12,Paramètres!$A$1:$I$89,3,0)*0.475*44/12</f>
        <v>6.340343252772553</v>
      </c>
      <c r="CN30" s="24">
        <f t="shared" si="12"/>
        <v>19.126393696284026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26.6</v>
      </c>
      <c r="N31" s="14">
        <f>IF('Données projet'!$A$36&gt;35,N30+M31-V30,IF(A31&lt;'Données projet'!$A$36,$K$205^A31,IF(A31='Données projet'!$A$36,'Données projet'!$B$36,N30+M31-V30)))</f>
        <v>430.80000000000013</v>
      </c>
      <c r="O31" s="14">
        <f>N31*VLOOKUP('Données projet'!$B$9,Paramètres!$A$1:$I$89,3,0)*VLOOKUP('Données projet'!$B$9,Paramètres!$A$1:$I$89,5,0)</f>
        <v>240.81720000000007</v>
      </c>
      <c r="P31" s="14">
        <f t="shared" si="33"/>
        <v>58.615320243858108</v>
      </c>
      <c r="Q31" s="22">
        <f t="shared" si="2"/>
        <v>521.51163942471965</v>
      </c>
      <c r="R31" s="62">
        <f t="shared" si="0"/>
        <v>812.40052831360845</v>
      </c>
      <c r="S31" s="62">
        <f ca="1">AVERAGE(OFFSET($R$3,0,0,'Données projet'!$E$9+1,1))-AVERAGE(OFFSET($H$3,0,0,'Données projet'!$E$9+1,1))</f>
        <v>446.5364328843699</v>
      </c>
      <c r="T31" s="62">
        <f t="shared" si="34"/>
        <v>559.96606361482179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1.6141711211608483</v>
      </c>
      <c r="AA31" s="23">
        <f>EXP(-LN(2)/25)*AA30+(1-EXP(-LN(2)/25))/(LN(2)/25)*Calculateur!V31*Calculateur!X31*VLOOKUP('Données projet'!$B$9,Paramètres!$A$1:$I$89,3,0)*0.475*44/12</f>
        <v>3.1401123159749784</v>
      </c>
      <c r="AB31" s="23">
        <f>EXP(-LN(2)/2)*AB30+(1-EXP(-LN(2)/2))/(LN(2)/2)*V31*Y31*VLOOKUP('Données projet'!$B$9,Paramètres!$A$1:$I$89,3,0)*0.475*44/12</f>
        <v>1.8796701282315535</v>
      </c>
      <c r="AC31" s="24">
        <f t="shared" si="3"/>
        <v>6.6339535653673805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16.666666666666668</v>
      </c>
      <c r="AI31" s="14">
        <f>IF('Données projet'!$A$62&gt;35,AI30+AH31-AQ30,IF(A31&lt;'Données projet'!$A$62,$AF$205^A31,IF(A31='Données projet'!$A$62,'Données projet'!$B$62,AI30+AH31-AQ30)))</f>
        <v>221.66666666666663</v>
      </c>
      <c r="AJ31" s="14">
        <f>AI31*VLOOKUP('Données projet'!$B$10,Paramètres!$A$1:$I$89,3,0)*VLOOKUP('Données projet'!$B$10,Paramètres!$A$1:$I$89,5,0)</f>
        <v>121.02999999999997</v>
      </c>
      <c r="AK31" s="14">
        <f t="shared" si="35"/>
        <v>31.915110254002617</v>
      </c>
      <c r="AL31" s="22">
        <f t="shared" si="4"/>
        <v>266.3794003590545</v>
      </c>
      <c r="AM31" s="62">
        <f t="shared" si="5"/>
        <v>557.26828924794336</v>
      </c>
      <c r="AN31" s="62">
        <f ca="1">AVERAGE(OFFSET($AM$3,0,0,'Données projet'!$E$10+1,1))-AVERAGE(OFFSET($H$3,0,0,'Données projet'!$E$10+1,1))</f>
        <v>164.0740581424559</v>
      </c>
      <c r="AO31" s="62">
        <f t="shared" si="36"/>
        <v>280.99861170359793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6.7449401932440924</v>
      </c>
      <c r="AV31" s="23">
        <f>EXP(-LN(2)/25)*AV30+(1-EXP(-LN(2)/25))/(LN(2)/25)*Calculateur!AQ31*Calculateur!AS31*VLOOKUP('Données projet'!$B$10,Paramètres!$A$1:$I$89,3,0)*0.475*44/12</f>
        <v>26.277774518743925</v>
      </c>
      <c r="AW31" s="23">
        <f>EXP(-LN(2)/2)*AW30+(1-EXP(-LN(2)/2))/(LN(2)/2)*AQ31*AT31*VLOOKUP('Données projet'!$B$10,Paramètres!$A$1:$I$89,3,0)*0.475*44/12</f>
        <v>4.4838734211161713</v>
      </c>
      <c r="AX31" s="23">
        <f t="shared" si="6"/>
        <v>37.506588133104188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6.8888888888888893</v>
      </c>
      <c r="BD31" s="13">
        <f>IF('Données projet'!$A$88&gt;35,BD30+BC31-BL30,IF(A31&lt;'Données projet'!$A$88,$BA$205^A31,IF(A31='Données projet'!$A$88,'Données projet'!$B$88,BD30+BC31-BL30)))</f>
        <v>117.88888888888889</v>
      </c>
      <c r="BE31" s="14">
        <f>BD31*VLOOKUP('Données projet'!$B$11,Paramètres!$A$1:$I$89,3,0)*VLOOKUP('Données projet'!$B$11,Paramètres!$A$1:$I$89,5,0)</f>
        <v>55.171999999999997</v>
      </c>
      <c r="BF31" s="14">
        <f t="shared" si="37"/>
        <v>15.941703687261668</v>
      </c>
      <c r="BG31" s="22">
        <f t="shared" si="7"/>
        <v>123.85636725531405</v>
      </c>
      <c r="BH31" s="62">
        <f t="shared" si="8"/>
        <v>414.74525614420293</v>
      </c>
      <c r="BI31" s="62">
        <f ca="1">AVERAGE(OFFSET($BH$3,0,0,'Données projet'!$E$11+1,1))-AVERAGE(OFFSET($H$3,0,0,'Données projet'!$E$11+1,1))</f>
        <v>90.829393941874685</v>
      </c>
      <c r="BJ31" s="62">
        <f t="shared" si="38"/>
        <v>113.5315547498717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3.1290107481642586</v>
      </c>
      <c r="BQ31" s="23">
        <f>EXP(-LN(2)/25)*BQ30+(1-EXP(-LN(2)/25))/(LN(2)/25)*Calculateur!BL31*Calculateur!BN31*VLOOKUP('Données projet'!$B$11,Paramètres!$A$1:$I$89,3,0)*0.475*44/12</f>
        <v>6.031815028074468</v>
      </c>
      <c r="BR31" s="23">
        <f>EXP(-LN(2)/2)*BR30+(1-EXP(-LN(2)/2))/(LN(2)/2)*BL31*BO31*VLOOKUP('Données projet'!$B$11,Paramètres!$A$1:$I$89,3,0)*0.475*44/12</f>
        <v>4.6286920835505239</v>
      </c>
      <c r="BS31" s="24">
        <f t="shared" si="9"/>
        <v>13.789517859789251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16.399999999999999</v>
      </c>
      <c r="BY31" s="13">
        <f>IF('Données projet'!$A$114&gt;35,BY30+BX31-CG30,IF(A31&lt;'Données projet'!$A$114,$BV$205^A31,IF(A31='Données projet'!$A$114,'Données projet'!$B$114,BY30+BX31-CG30)))</f>
        <v>172.20000000000005</v>
      </c>
      <c r="BZ31" s="14">
        <f>BY31*VLOOKUP('Données projet'!$B$12,Paramètres!$A$1:$I$89,3,0)*VLOOKUP('Données projet'!$B$12,Paramètres!$A$1:$I$89,5,0)</f>
        <v>112.82544000000003</v>
      </c>
      <c r="CA31" s="14">
        <f t="shared" si="39"/>
        <v>29.995694500969023</v>
      </c>
      <c r="CB31" s="22">
        <f t="shared" si="10"/>
        <v>248.7468092558544</v>
      </c>
      <c r="CC31" s="62">
        <f t="shared" si="11"/>
        <v>539.63569814474329</v>
      </c>
      <c r="CD31" s="62">
        <f ca="1">AVERAGE(OFFSET($CC$3,0,0,'Données projet'!$E$12+1,1))-AVERAGE(OFFSET($H$3,0,0,'Données projet'!$E$12+1,1))</f>
        <v>211.95495599943246</v>
      </c>
      <c r="CE31" s="62">
        <f t="shared" si="40"/>
        <v>270.47407508916842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1.2326397652501024</v>
      </c>
      <c r="CL31" s="23">
        <f>EXP(-LN(2)/25)*CL30+(1-EXP(-LN(2)/25))/(LN(2)/25)*Calculateur!CG31*Calculateur!CI31*VLOOKUP('Données projet'!$B$12,Paramètres!$A$1:$I$89,3,0)*0.475*44/12</f>
        <v>11.213501462787447</v>
      </c>
      <c r="CM31" s="23">
        <f>EXP(-LN(2)/2)*CM30+(1-EXP(-LN(2)/2))/(LN(2)/2)*CG31*CJ31*VLOOKUP('Données projet'!$B$12,Paramètres!$A$1:$I$89,3,0)*0.475*44/12</f>
        <v>4.4832997090858449</v>
      </c>
      <c r="CN31" s="24">
        <f t="shared" si="12"/>
        <v>16.929440937123395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26.6</v>
      </c>
      <c r="N32" s="14">
        <f>IF('Données projet'!$A$36&gt;35,N31+M32-V31,IF(A32&lt;'Données projet'!$A$36,$K$205^A32,IF(A32='Données projet'!$A$36,'Données projet'!$B$36,N31+M32-V31)))</f>
        <v>457.40000000000015</v>
      </c>
      <c r="O32" s="14">
        <f>N32*VLOOKUP('Données projet'!$B$9,Paramètres!$A$1:$I$89,3,0)*VLOOKUP('Données projet'!$B$9,Paramètres!$A$1:$I$89,5,0)</f>
        <v>255.68660000000011</v>
      </c>
      <c r="P32" s="14">
        <f t="shared" si="33"/>
        <v>61.80204209851388</v>
      </c>
      <c r="Q32" s="22">
        <f t="shared" si="2"/>
        <v>552.95938498824523</v>
      </c>
      <c r="R32" s="62">
        <f t="shared" si="0"/>
        <v>845.07049609935643</v>
      </c>
      <c r="S32" s="62">
        <f ca="1">AVERAGE(OFFSET($R$3,0,0,'Données projet'!$E$9+1,1))-AVERAGE(OFFSET($H$3,0,0,'Données projet'!$E$9+1,1))</f>
        <v>446.5364328843699</v>
      </c>
      <c r="T32" s="62">
        <f t="shared" si="34"/>
        <v>559.96606361482179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1.5825182100220521</v>
      </c>
      <c r="AA32" s="23">
        <f>EXP(-LN(2)/25)*AA31+(1-EXP(-LN(2)/25))/(LN(2)/25)*Calculateur!V32*Calculateur!X32*VLOOKUP('Données projet'!$B$9,Paramètres!$A$1:$I$89,3,0)*0.475*44/12</f>
        <v>3.0542457795633129</v>
      </c>
      <c r="AB32" s="23">
        <f>EXP(-LN(2)/2)*AB31+(1-EXP(-LN(2)/2))/(LN(2)/2)*V32*Y32*VLOOKUP('Données projet'!$B$9,Paramètres!$A$1:$I$89,3,0)*0.475*44/12</f>
        <v>1.3291274940663189</v>
      </c>
      <c r="AC32" s="24">
        <f t="shared" si="3"/>
        <v>5.9658914836516841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16.666666666666668</v>
      </c>
      <c r="AI32" s="14">
        <f>IF('Données projet'!$A$62&gt;35,AI31+AH32-AQ31,IF(A32&lt;'Données projet'!$A$62,$AF$205^A32,IF(A32='Données projet'!$A$62,'Données projet'!$B$62,AI31+AH32-AQ31)))</f>
        <v>238.33333333333329</v>
      </c>
      <c r="AJ32" s="14">
        <f>AI32*VLOOKUP('Données projet'!$B$10,Paramètres!$A$1:$I$89,3,0)*VLOOKUP('Données projet'!$B$10,Paramètres!$A$1:$I$89,5,0)</f>
        <v>130.12999999999997</v>
      </c>
      <c r="AK32" s="14">
        <f t="shared" si="35"/>
        <v>34.026396767825609</v>
      </c>
      <c r="AL32" s="22">
        <f t="shared" si="4"/>
        <v>285.90572437062957</v>
      </c>
      <c r="AM32" s="62">
        <f t="shared" si="5"/>
        <v>578.01683548174071</v>
      </c>
      <c r="AN32" s="62">
        <f ca="1">AVERAGE(OFFSET($AM$3,0,0,'Données projet'!$E$10+1,1))-AVERAGE(OFFSET($H$3,0,0,'Données projet'!$E$10+1,1))</f>
        <v>164.0740581424559</v>
      </c>
      <c r="AO32" s="62">
        <f t="shared" si="36"/>
        <v>280.99861170359793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6.612676030061869</v>
      </c>
      <c r="AV32" s="23">
        <f>EXP(-LN(2)/25)*AV31+(1-EXP(-LN(2)/25))/(LN(2)/25)*Calculateur!AQ32*Calculateur!AS32*VLOOKUP('Données projet'!$B$10,Paramètres!$A$1:$I$89,3,0)*0.475*44/12</f>
        <v>25.559207392640769</v>
      </c>
      <c r="AW32" s="23">
        <f>EXP(-LN(2)/2)*AW31+(1-EXP(-LN(2)/2))/(LN(2)/2)*AQ32*AT32*VLOOKUP('Données projet'!$B$10,Paramètres!$A$1:$I$89,3,0)*0.475*44/12</f>
        <v>3.1705773020533692</v>
      </c>
      <c r="AX32" s="23">
        <f t="shared" si="6"/>
        <v>35.342460724756002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6.8888888888888893</v>
      </c>
      <c r="BD32" s="13">
        <f>IF('Données projet'!$A$88&gt;35,BD31+BC32-BL31,IF(A32&lt;'Données projet'!$A$88,$BA$205^A32,IF(A32='Données projet'!$A$88,'Données projet'!$B$88,BD31+BC32-BL31)))</f>
        <v>124.77777777777777</v>
      </c>
      <c r="BE32" s="14">
        <f>BD32*VLOOKUP('Données projet'!$B$11,Paramètres!$A$1:$I$89,3,0)*VLOOKUP('Données projet'!$B$11,Paramètres!$A$1:$I$89,5,0)</f>
        <v>58.395999999999994</v>
      </c>
      <c r="BF32" s="14">
        <f t="shared" si="37"/>
        <v>16.762090145609708</v>
      </c>
      <c r="BG32" s="22">
        <f t="shared" si="7"/>
        <v>130.90034033693689</v>
      </c>
      <c r="BH32" s="62">
        <f t="shared" si="8"/>
        <v>423.01145144804804</v>
      </c>
      <c r="BI32" s="62">
        <f ca="1">AVERAGE(OFFSET($BH$3,0,0,'Données projet'!$E$11+1,1))-AVERAGE(OFFSET($H$3,0,0,'Données projet'!$E$11+1,1))</f>
        <v>90.829393941874685</v>
      </c>
      <c r="BJ32" s="62">
        <f t="shared" si="38"/>
        <v>113.5315547498717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3.0676527559008644</v>
      </c>
      <c r="BQ32" s="23">
        <f>EXP(-LN(2)/25)*BQ31+(1-EXP(-LN(2)/25))/(LN(2)/25)*Calculateur!BL32*Calculateur!BN32*VLOOKUP('Données projet'!$B$11,Paramètres!$A$1:$I$89,3,0)*0.475*44/12</f>
        <v>5.8668747289324052</v>
      </c>
      <c r="BR32" s="23">
        <f>EXP(-LN(2)/2)*BR31+(1-EXP(-LN(2)/2))/(LN(2)/2)*BL32*BO32*VLOOKUP('Données projet'!$B$11,Paramètres!$A$1:$I$89,3,0)*0.475*44/12</f>
        <v>3.2729795603030651</v>
      </c>
      <c r="BS32" s="24">
        <f t="shared" si="9"/>
        <v>12.207507045136335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16.399999999999999</v>
      </c>
      <c r="BY32" s="13">
        <f>IF('Données projet'!$A$114&gt;35,BY31+BX32-CG31,IF(A32&lt;'Données projet'!$A$114,$BV$205^A32,IF(A32='Données projet'!$A$114,'Données projet'!$B$114,BY31+BX32-CG31)))</f>
        <v>188.60000000000005</v>
      </c>
      <c r="BZ32" s="14">
        <f>BY32*VLOOKUP('Données projet'!$B$12,Paramètres!$A$1:$I$89,3,0)*VLOOKUP('Données projet'!$B$12,Paramètres!$A$1:$I$89,5,0)</f>
        <v>123.57072000000004</v>
      </c>
      <c r="CA32" s="14">
        <f t="shared" si="39"/>
        <v>32.506384557027701</v>
      </c>
      <c r="CB32" s="22">
        <f t="shared" si="10"/>
        <v>271.83429043682327</v>
      </c>
      <c r="CC32" s="62">
        <f t="shared" si="11"/>
        <v>563.94540154793435</v>
      </c>
      <c r="CD32" s="62">
        <f ca="1">AVERAGE(OFFSET($CC$3,0,0,'Données projet'!$E$12+1,1))-AVERAGE(OFFSET($H$3,0,0,'Données projet'!$E$12+1,1))</f>
        <v>211.95495599943246</v>
      </c>
      <c r="CE32" s="62">
        <f t="shared" si="40"/>
        <v>270.47407508916842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1.2084684512895671</v>
      </c>
      <c r="CL32" s="23">
        <f>EXP(-LN(2)/25)*CL31+(1-EXP(-LN(2)/25))/(LN(2)/25)*Calculateur!CG32*Calculateur!CI32*VLOOKUP('Données projet'!$B$12,Paramètres!$A$1:$I$89,3,0)*0.475*44/12</f>
        <v>10.906867675595111</v>
      </c>
      <c r="CM32" s="23">
        <f>EXP(-LN(2)/2)*CM31+(1-EXP(-LN(2)/2))/(LN(2)/2)*CG32*CJ32*VLOOKUP('Données projet'!$B$12,Paramètres!$A$1:$I$89,3,0)*0.475*44/12</f>
        <v>3.1701716263862769</v>
      </c>
      <c r="CN32" s="24">
        <f t="shared" si="12"/>
        <v>15.285507753270956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484</v>
      </c>
      <c r="L33" s="13">
        <f>VLOOKUP(A33,'Données projet'!$A$35:$I$55,9,0)</f>
        <v>26.6</v>
      </c>
      <c r="M33" s="13">
        <f t="array" ref="M33">INDEX(L:L,MIN(IF(ISNUMBER(L33:L229),ROW(L33:L229),"")))</f>
        <v>26.6</v>
      </c>
      <c r="N33" s="14">
        <f>IF('Données projet'!$A$36&gt;35,N32+M33-V32,IF(A33&lt;'Données projet'!$A$36,$K$205^A33,IF(A33='Données projet'!$A$36,'Données projet'!$B$36,N32+M33-V32)))</f>
        <v>484.00000000000017</v>
      </c>
      <c r="O33" s="14">
        <f>N33*VLOOKUP('Données projet'!$B$9,Paramètres!$A$1:$I$89,3,0)*VLOOKUP('Données projet'!$B$9,Paramètres!$A$1:$I$89,5,0)</f>
        <v>270.5560000000001</v>
      </c>
      <c r="P33" s="14">
        <f t="shared" si="33"/>
        <v>64.967252389325282</v>
      </c>
      <c r="Q33" s="22">
        <f t="shared" si="2"/>
        <v>584.369664578075</v>
      </c>
      <c r="R33" s="62">
        <f t="shared" si="0"/>
        <v>877.70299791140837</v>
      </c>
      <c r="S33" s="62">
        <f ca="1">AVERAGE(OFFSET($R$3,0,0,'Données projet'!$E$9+1,1))-AVERAGE(OFFSET($H$3,0,0,'Données projet'!$E$9+1,1))</f>
        <v>446.5364328843699</v>
      </c>
      <c r="T33" s="62">
        <f t="shared" si="34"/>
        <v>559.96606361482179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48</v>
      </c>
      <c r="W33" s="17">
        <f>IF(ISNA(VLOOKUP(A33,'Données projet'!$A$35:$I$55,5,0)),0%,VLOOKUP(A33,'Données projet'!$A$35:$I$55,5,0)*VLOOKUP('Données projet'!$B$9,Paramètres!$A$1:$I$89,7,0))</f>
        <v>0.11000000000000001</v>
      </c>
      <c r="X33" s="17">
        <f>IF(ISNA(VLOOKUP(A33,'Données projet'!$A$35:$I$55,6,0)),0%,VLOOKUP(A33,'Données projet'!$A$35:$I$55,6,0)*VLOOKUP('Données projet'!$B$9,Paramètres!$A$1:$I$89,7,0))</f>
        <v>0.22000000000000003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5.4668675146832308</v>
      </c>
      <c r="AA33" s="23">
        <f>EXP(-LN(2)/25)*AA32+(1-EXP(-LN(2)/25))/(LN(2)/25)*Calculateur!V33*Calculateur!X33*VLOOKUP('Données projet'!$B$9,Paramètres!$A$1:$I$89,3,0)*0.475*44/12</f>
        <v>10.77065761328809</v>
      </c>
      <c r="AB33" s="23">
        <f>EXP(-LN(2)/2)*AB32+(1-EXP(-LN(2)/2))/(LN(2)/2)*V33*Y33*VLOOKUP('Données projet'!$B$9,Paramètres!$A$1:$I$89,3,0)*0.475*44/12</f>
        <v>13.09185786700783</v>
      </c>
      <c r="AC33" s="24">
        <f t="shared" si="3"/>
        <v>29.329382994979149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255</v>
      </c>
      <c r="AG33" s="13">
        <f>VLOOKUP(A33,'Données projet'!$A$61:$I$81,9,0)</f>
        <v>16.666666666666668</v>
      </c>
      <c r="AH33" s="13">
        <f t="array" ref="AH33">INDEX(AG:AG,MIN(IF(ISNUMBER(AG33:AG229),ROW(AG33:AG229),"")))</f>
        <v>16.666666666666668</v>
      </c>
      <c r="AI33" s="14">
        <f>IF('Données projet'!$A$62&gt;35,AI32+AH33-AQ32,IF(A33&lt;'Données projet'!$A$62,$AF$205^A33,IF(A33='Données projet'!$A$62,'Données projet'!$B$62,AI32+AH33-AQ32)))</f>
        <v>254.99999999999994</v>
      </c>
      <c r="AJ33" s="14">
        <f>AI33*VLOOKUP('Données projet'!$B$10,Paramètres!$A$1:$I$89,3,0)*VLOOKUP('Données projet'!$B$10,Paramètres!$A$1:$I$89,5,0)</f>
        <v>139.22999999999996</v>
      </c>
      <c r="AK33" s="14">
        <f t="shared" si="35"/>
        <v>36.120552727378737</v>
      </c>
      <c r="AL33" s="22">
        <f t="shared" si="4"/>
        <v>305.4022126668512</v>
      </c>
      <c r="AM33" s="62">
        <f t="shared" si="5"/>
        <v>598.73554600018451</v>
      </c>
      <c r="AN33" s="62">
        <f ca="1">AVERAGE(OFFSET($AM$3,0,0,'Données projet'!$E$10+1,1))-AVERAGE(OFFSET($H$3,0,0,'Données projet'!$E$10+1,1))</f>
        <v>164.0740581424559</v>
      </c>
      <c r="AO33" s="62">
        <f t="shared" si="36"/>
        <v>280.99861170359793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76</v>
      </c>
      <c r="AR33" s="17">
        <f>IF(ISNA(VLOOKUP(A33,'Données projet'!$A$61:$I$81,5,0)),0%,VLOOKUP(A33,'Données projet'!$A$61:$I$81,5,0)*VLOOKUP('Données projet'!$B$10,Paramètres!$A$1:$I$89,7,0))</f>
        <v>0.18</v>
      </c>
      <c r="AS33" s="17">
        <f>IF(ISNA(VLOOKUP(A33,'Données projet'!$A$61:$I$81,6,0)),0%,VLOOKUP(A33,'Données projet'!$A$61:$I$81,6,0)*VLOOKUP('Données projet'!$B$10,Paramètres!$A$1:$I$89,7,0))</f>
        <v>0.24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16.391486842171922</v>
      </c>
      <c r="AV33" s="23">
        <f>EXP(-LN(2)/25)*AV32+(1-EXP(-LN(2)/25))/(LN(2)/25)*Calculateur!AQ33*Calculateur!AS33*VLOOKUP('Données projet'!$B$10,Paramètres!$A$1:$I$89,3,0)*0.475*44/12</f>
        <v>38.019580041322797</v>
      </c>
      <c r="AW33" s="23">
        <f>EXP(-LN(2)/2)*AW32+(1-EXP(-LN(2)/2))/(LN(2)/2)*AQ33*AT33*VLOOKUP('Données projet'!$B$10,Paramètres!$A$1:$I$89,3,0)*0.475*44/12</f>
        <v>16.336870136005551</v>
      </c>
      <c r="AX33" s="23">
        <f t="shared" si="6"/>
        <v>70.74793701950027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6.8888888888888893</v>
      </c>
      <c r="BD33" s="13">
        <f>IF('Données projet'!$A$88&gt;35,BD32+BC33-BL32,IF(A33&lt;'Données projet'!$A$88,$BA$205^A33,IF(A33='Données projet'!$A$88,'Données projet'!$B$88,BD32+BC33-BL32)))</f>
        <v>131.66666666666666</v>
      </c>
      <c r="BE33" s="14">
        <f>BD33*VLOOKUP('Données projet'!$B$11,Paramètres!$A$1:$I$89,3,0)*VLOOKUP('Données projet'!$B$11,Paramètres!$A$1:$I$89,5,0)</f>
        <v>61.61999999999999</v>
      </c>
      <c r="BF33" s="14">
        <f t="shared" si="37"/>
        <v>17.577218591267972</v>
      </c>
      <c r="BG33" s="22">
        <f t="shared" si="7"/>
        <v>137.935155713125</v>
      </c>
      <c r="BH33" s="62">
        <f t="shared" si="8"/>
        <v>431.26848904645828</v>
      </c>
      <c r="BI33" s="62">
        <f ca="1">AVERAGE(OFFSET($BH$3,0,0,'Données projet'!$E$11+1,1))-AVERAGE(OFFSET($H$3,0,0,'Données projet'!$E$11+1,1))</f>
        <v>90.829393941874685</v>
      </c>
      <c r="BJ33" s="62">
        <f t="shared" si="38"/>
        <v>113.5315547498717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3.0074979564410755</v>
      </c>
      <c r="BQ33" s="23">
        <f>EXP(-LN(2)/25)*BQ32+(1-EXP(-LN(2)/25))/(LN(2)/25)*Calculateur!BL33*Calculateur!BN33*VLOOKUP('Données projet'!$B$11,Paramètres!$A$1:$I$89,3,0)*0.475*44/12</f>
        <v>5.7064447309442157</v>
      </c>
      <c r="BR33" s="23">
        <f>EXP(-LN(2)/2)*BR32+(1-EXP(-LN(2)/2))/(LN(2)/2)*BL33*BO33*VLOOKUP('Données projet'!$B$11,Paramètres!$A$1:$I$89,3,0)*0.475*44/12</f>
        <v>2.3143460417752624</v>
      </c>
      <c r="BS33" s="24">
        <f t="shared" si="9"/>
        <v>11.028288729160554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205</v>
      </c>
      <c r="BW33" s="13">
        <f>VLOOKUP(A33,'Données projet'!$A$113:$I$133,9,0)</f>
        <v>16.399999999999999</v>
      </c>
      <c r="BX33" s="13">
        <f t="array" ref="BX33">INDEX(BW:BW,MIN(IF(ISNUMBER(BW33:BW229),ROW(BW33:BW229),"")))</f>
        <v>16.399999999999999</v>
      </c>
      <c r="BY33" s="13">
        <f>IF('Données projet'!$A$114&gt;35,BY32+BX33-CG32,IF(A33&lt;'Données projet'!$A$114,$BV$205^A33,IF(A33='Données projet'!$A$114,'Données projet'!$B$114,BY32+BX33-CG32)))</f>
        <v>205.00000000000006</v>
      </c>
      <c r="BZ33" s="14">
        <f>BY33*VLOOKUP('Données projet'!$B$12,Paramètres!$A$1:$I$89,3,0)*VLOOKUP('Données projet'!$B$12,Paramètres!$A$1:$I$89,5,0)</f>
        <v>134.31600000000003</v>
      </c>
      <c r="CA33" s="14">
        <f t="shared" si="39"/>
        <v>34.991756585122445</v>
      </c>
      <c r="CB33" s="22">
        <f t="shared" si="10"/>
        <v>294.87767605242163</v>
      </c>
      <c r="CC33" s="62">
        <f t="shared" si="11"/>
        <v>588.21100938575501</v>
      </c>
      <c r="CD33" s="62">
        <f ca="1">AVERAGE(OFFSET($CC$3,0,0,'Données projet'!$E$12+1,1))-AVERAGE(OFFSET($H$3,0,0,'Données projet'!$E$12+1,1))</f>
        <v>211.95495599943246</v>
      </c>
      <c r="CE33" s="62">
        <f t="shared" si="40"/>
        <v>270.47407508916842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42</v>
      </c>
      <c r="CH33" s="17">
        <f>IF(ISNA(VLOOKUP(A33,'Données projet'!$A$113:$I$133,5,0)),0%,VLOOKUP(A33,'Données projet'!$A$113:$I$133,5,0)*VLOOKUP('Données projet'!$B$12,Paramètres!$A$1:$I$89,7,0))</f>
        <v>4.3000000000000003E-2</v>
      </c>
      <c r="CI33" s="17">
        <f>IF(ISNA(VLOOKUP(A33,'Données projet'!$A$113:$I$133,6,0)),0%,VLOOKUP(A33,'Données projet'!$A$113:$I$133,6,0)*VLOOKUP('Données projet'!$B$12,Paramètres!$A$1:$I$89,7,0))</f>
        <v>0.215</v>
      </c>
      <c r="CJ33" s="17">
        <f>IF(ISNA(VLOOKUP(A33,'Données projet'!$A$113:$I$133,7,0)),0%,VLOOKUP(A33,'Données projet'!$A$113:$I$133,7,0))</f>
        <v>0.4</v>
      </c>
      <c r="CK33" s="23">
        <f>EXP(-LN(2)/35)*CK32+(1-EXP(-LN(2)/35))/(LN(2)/35)*CG33*CH33*VLOOKUP('Données projet'!$B$12,Paramètres!$A$1:$I$89,3,0)*0.475*44/12</f>
        <v>2.4928644940147526</v>
      </c>
      <c r="CL33" s="23">
        <f>EXP(-LN(2)/25)*CL32+(1-EXP(-LN(2)/25))/(LN(2)/25)*Calculateur!CG33*Calculateur!CI33*VLOOKUP('Données projet'!$B$12,Paramètres!$A$1:$I$89,3,0)*0.475*44/12</f>
        <v>17.123333355108397</v>
      </c>
      <c r="CM33" s="23">
        <f>EXP(-LN(2)/2)*CM32+(1-EXP(-LN(2)/2))/(LN(2)/2)*CG33*CJ33*VLOOKUP('Données projet'!$B$12,Paramètres!$A$1:$I$89,3,0)*0.475*44/12</f>
        <v>12.627390273293688</v>
      </c>
      <c r="CN33" s="24">
        <f t="shared" si="12"/>
        <v>32.243588122416838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24.6</v>
      </c>
      <c r="N34" s="14">
        <f>IF('Données projet'!$A$36&gt;35,N33+M34-V33,IF(A34&lt;'Données projet'!$A$36,$K$205^A34,IF(A34='Données projet'!$A$36,'Données projet'!$B$36,N33+M34-V33)))</f>
        <v>460.60000000000019</v>
      </c>
      <c r="O34" s="14">
        <f>N34*VLOOKUP('Données projet'!$B$9,Paramètres!$A$1:$I$89,3,0)*VLOOKUP('Données projet'!$B$9,Paramètres!$A$1:$I$89,5,0)</f>
        <v>257.47540000000009</v>
      </c>
      <c r="P34" s="14">
        <f t="shared" si="33"/>
        <v>62.183930036702655</v>
      </c>
      <c r="Q34" s="22">
        <f t="shared" si="2"/>
        <v>556.73999981392387</v>
      </c>
      <c r="R34" s="62">
        <f t="shared" si="0"/>
        <v>850.07333314725724</v>
      </c>
      <c r="S34" s="62">
        <f ca="1">AVERAGE(OFFSET($R$3,0,0,'Données projet'!$E$9+1,1))-AVERAGE(OFFSET($H$3,0,0,'Données projet'!$E$9+1,1))</f>
        <v>446.5364328843699</v>
      </c>
      <c r="T34" s="62">
        <f t="shared" si="34"/>
        <v>559.96606361482179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5.359665577180226</v>
      </c>
      <c r="AA34" s="23">
        <f>EXP(-LN(2)/25)*AA33+(1-EXP(-LN(2)/25))/(LN(2)/25)*Calculateur!V34*Calculateur!X34*VLOOKUP('Données projet'!$B$9,Paramètres!$A$1:$I$89,3,0)*0.475*44/12</f>
        <v>10.47613341444846</v>
      </c>
      <c r="AB34" s="23">
        <f>EXP(-LN(2)/2)*AB33+(1-EXP(-LN(2)/2))/(LN(2)/2)*V34*Y34*VLOOKUP('Données projet'!$B$9,Paramètres!$A$1:$I$89,3,0)*0.475*44/12</f>
        <v>9.2573414760916872</v>
      </c>
      <c r="AC34" s="24">
        <f t="shared" si="3"/>
        <v>25.093140467720374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</v>
      </c>
      <c r="AI34" s="14">
        <f>IF('Données projet'!$A$62&gt;35,AI33+AH34-AQ33,IF(A34&lt;'Données projet'!$A$62,$AF$205^A34,IF(A34='Données projet'!$A$62,'Données projet'!$B$62,AI33+AH34-AQ33)))</f>
        <v>193.99999999999994</v>
      </c>
      <c r="AJ34" s="14">
        <f>AI34*VLOOKUP('Données projet'!$B$10,Paramètres!$A$1:$I$89,3,0)*VLOOKUP('Données projet'!$B$10,Paramètres!$A$1:$I$89,5,0)</f>
        <v>105.92399999999998</v>
      </c>
      <c r="AK34" s="14">
        <f t="shared" si="35"/>
        <v>28.36854701055546</v>
      </c>
      <c r="AL34" s="22">
        <f t="shared" si="4"/>
        <v>233.89285271005073</v>
      </c>
      <c r="AM34" s="62">
        <f t="shared" si="5"/>
        <v>527.22618604338402</v>
      </c>
      <c r="AN34" s="62">
        <f ca="1">AVERAGE(OFFSET($AM$3,0,0,'Données projet'!$E$10+1,1))-AVERAGE(OFFSET($H$3,0,0,'Données projet'!$E$10+1,1))</f>
        <v>164.0740581424559</v>
      </c>
      <c r="AO34" s="62">
        <f t="shared" si="36"/>
        <v>280.99861170359793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16.070059783016703</v>
      </c>
      <c r="AV34" s="23">
        <f>EXP(-LN(2)/25)*AV33+(1-EXP(-LN(2)/25))/(LN(2)/25)*Calculateur!AQ34*Calculateur!AS34*VLOOKUP('Données projet'!$B$10,Paramètres!$A$1:$I$89,3,0)*0.475*44/12</f>
        <v>36.979932625730008</v>
      </c>
      <c r="AW34" s="23">
        <f>EXP(-LN(2)/2)*AW33+(1-EXP(-LN(2)/2))/(LN(2)/2)*AQ34*AT34*VLOOKUP('Données projet'!$B$10,Paramètres!$A$1:$I$89,3,0)*0.475*44/12</f>
        <v>11.551911656533521</v>
      </c>
      <c r="AX34" s="23">
        <f t="shared" si="6"/>
        <v>64.601904065280237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6.8888888888888893</v>
      </c>
      <c r="BD34" s="13">
        <f>IF('Données projet'!$A$88&gt;35,BD33+BC34-BL33,IF(A34&lt;'Données projet'!$A$88,$BA$205^A34,IF(A34='Données projet'!$A$88,'Données projet'!$B$88,BD33+BC34-BL33)))</f>
        <v>138.55555555555554</v>
      </c>
      <c r="BE34" s="14">
        <f>BD34*VLOOKUP('Données projet'!$B$11,Paramètres!$A$1:$I$89,3,0)*VLOOKUP('Données projet'!$B$11,Paramètres!$A$1:$I$89,5,0)</f>
        <v>64.843999999999994</v>
      </c>
      <c r="BF34" s="14">
        <f t="shared" si="37"/>
        <v>18.387395502392351</v>
      </c>
      <c r="BG34" s="22">
        <f t="shared" si="7"/>
        <v>144.96134716666668</v>
      </c>
      <c r="BH34" s="62">
        <f t="shared" si="8"/>
        <v>438.29468050000003</v>
      </c>
      <c r="BI34" s="62">
        <f ca="1">AVERAGE(OFFSET($BH$3,0,0,'Données projet'!$E$11+1,1))-AVERAGE(OFFSET($H$3,0,0,'Données projet'!$E$11+1,1))</f>
        <v>90.829393941874685</v>
      </c>
      <c r="BJ34" s="62">
        <f t="shared" si="38"/>
        <v>113.5315547498717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2.9485227559078884</v>
      </c>
      <c r="BQ34" s="23">
        <f>EXP(-LN(2)/25)*BQ33+(1-EXP(-LN(2)/25))/(LN(2)/25)*Calculateur!BL34*Calculateur!BN34*VLOOKUP('Données projet'!$B$11,Paramètres!$A$1:$I$89,3,0)*0.475*44/12</f>
        <v>5.5504016996876597</v>
      </c>
      <c r="BR34" s="23">
        <f>EXP(-LN(2)/2)*BR33+(1-EXP(-LN(2)/2))/(LN(2)/2)*BL34*BO34*VLOOKUP('Données projet'!$B$11,Paramètres!$A$1:$I$89,3,0)*0.475*44/12</f>
        <v>1.636489780151533</v>
      </c>
      <c r="BS34" s="24">
        <f t="shared" si="9"/>
        <v>10.135414235747081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15.2</v>
      </c>
      <c r="BY34" s="13">
        <f>IF('Données projet'!$A$114&gt;35,BY33+BX34-CG33,IF(A34&lt;'Données projet'!$A$114,$BV$205^A34,IF(A34='Données projet'!$A$114,'Données projet'!$B$114,BY33+BX34-CG33)))</f>
        <v>178.20000000000005</v>
      </c>
      <c r="BZ34" s="14">
        <f>BY34*VLOOKUP('Données projet'!$B$12,Paramètres!$A$1:$I$89,3,0)*VLOOKUP('Données projet'!$B$12,Paramètres!$A$1:$I$89,5,0)</f>
        <v>116.75664000000003</v>
      </c>
      <c r="CA34" s="14">
        <f t="shared" si="39"/>
        <v>30.91733675897062</v>
      </c>
      <c r="CB34" s="22">
        <f t="shared" si="10"/>
        <v>257.19884285520715</v>
      </c>
      <c r="CC34" s="62">
        <f t="shared" si="11"/>
        <v>550.53217618854046</v>
      </c>
      <c r="CD34" s="62">
        <f ca="1">AVERAGE(OFFSET($CC$3,0,0,'Données projet'!$E$12+1,1))-AVERAGE(OFFSET($H$3,0,0,'Données projet'!$E$12+1,1))</f>
        <v>211.95495599943246</v>
      </c>
      <c r="CE34" s="62">
        <f t="shared" si="40"/>
        <v>270.47407508916842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2.4439809417843281</v>
      </c>
      <c r="CL34" s="23">
        <f>EXP(-LN(2)/25)*CL33+(1-EXP(-LN(2)/25))/(LN(2)/25)*Calculateur!CG34*Calculateur!CI34*VLOOKUP('Données projet'!$B$12,Paramètres!$A$1:$I$89,3,0)*0.475*44/12</f>
        <v>16.655094904035991</v>
      </c>
      <c r="CM34" s="23">
        <f>EXP(-LN(2)/2)*CM33+(1-EXP(-LN(2)/2))/(LN(2)/2)*CG34*CJ34*VLOOKUP('Données projet'!$B$12,Paramètres!$A$1:$I$89,3,0)*0.475*44/12</f>
        <v>8.9289132909350197</v>
      </c>
      <c r="CN34" s="24">
        <f t="shared" si="12"/>
        <v>28.027989136755338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24.6</v>
      </c>
      <c r="N35" s="14">
        <f>IF('Données projet'!$A$36&gt;35,N34+M35-V34,IF(A35&lt;'Données projet'!$A$36,$K$205^A35,IF(A35='Données projet'!$A$36,'Données projet'!$B$36,N34+M35-V34)))</f>
        <v>485.20000000000022</v>
      </c>
      <c r="O35" s="14">
        <f>N35*VLOOKUP('Données projet'!$B$9,Paramètres!$A$1:$I$89,3,0)*VLOOKUP('Données projet'!$B$9,Paramètres!$A$1:$I$89,5,0)</f>
        <v>271.22680000000014</v>
      </c>
      <c r="P35" s="14">
        <f t="shared" si="33"/>
        <v>65.109558476355161</v>
      </c>
      <c r="Q35" s="22">
        <f t="shared" ref="Q35:Q66" si="53">(O35+P35)*0.475*44/12</f>
        <v>585.7858243463188</v>
      </c>
      <c r="R35" s="62">
        <f t="shared" si="0"/>
        <v>879.11915767965206</v>
      </c>
      <c r="S35" s="62">
        <f ca="1">AVERAGE(OFFSET($R$3,0,0,'Données projet'!$E$9+1,1))-AVERAGE(OFFSET($H$3,0,0,'Données projet'!$E$9+1,1))</f>
        <v>446.5364328843699</v>
      </c>
      <c r="T35" s="62">
        <f t="shared" si="34"/>
        <v>559.96606361482179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5.2545658042849297</v>
      </c>
      <c r="AA35" s="23">
        <f>EXP(-LN(2)/25)*AA34+(1-EXP(-LN(2)/25))/(LN(2)/25)*Calculateur!V35*Calculateur!X35*VLOOKUP('Données projet'!$B$9,Paramètres!$A$1:$I$89,3,0)*0.475*44/12</f>
        <v>10.189662995314455</v>
      </c>
      <c r="AB35" s="23">
        <f>EXP(-LN(2)/2)*AB34+(1-EXP(-LN(2)/2))/(LN(2)/2)*V35*Y35*VLOOKUP('Données projet'!$B$9,Paramètres!$A$1:$I$89,3,0)*0.475*44/12</f>
        <v>6.5459289335039159</v>
      </c>
      <c r="AC35" s="24">
        <f t="shared" si="3"/>
        <v>21.990157733103302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</v>
      </c>
      <c r="AI35" s="14">
        <f>IF('Données projet'!$A$62&gt;35,AI34+AH35-AQ34,IF(A35&lt;'Données projet'!$A$62,$AF$205^A35,IF(A35='Données projet'!$A$62,'Données projet'!$B$62,AI34+AH35-AQ34)))</f>
        <v>208.99999999999994</v>
      </c>
      <c r="AJ35" s="14">
        <f>AI35*VLOOKUP('Données projet'!$B$10,Paramètres!$A$1:$I$89,3,0)*VLOOKUP('Données projet'!$B$10,Paramètres!$A$1:$I$89,5,0)</f>
        <v>114.11399999999996</v>
      </c>
      <c r="AK35" s="14">
        <f t="shared" si="35"/>
        <v>30.298194021728271</v>
      </c>
      <c r="AL35" s="22">
        <f t="shared" si="4"/>
        <v>251.5179045878433</v>
      </c>
      <c r="AM35" s="62">
        <f t="shared" si="5"/>
        <v>544.85123792117656</v>
      </c>
      <c r="AN35" s="62">
        <f ca="1">AVERAGE(OFFSET($AM$3,0,0,'Données projet'!$E$10+1,1))-AVERAGE(OFFSET($H$3,0,0,'Données projet'!$E$10+1,1))</f>
        <v>164.0740581424559</v>
      </c>
      <c r="AO35" s="62">
        <f t="shared" si="36"/>
        <v>280.99861170359793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15.754935712440368</v>
      </c>
      <c r="AV35" s="23">
        <f>EXP(-LN(2)/25)*AV34+(1-EXP(-LN(2)/25))/(LN(2)/25)*Calculateur!AQ35*Calculateur!AS35*VLOOKUP('Données projet'!$B$10,Paramètres!$A$1:$I$89,3,0)*0.475*44/12</f>
        <v>35.968714423389279</v>
      </c>
      <c r="AW35" s="23">
        <f>EXP(-LN(2)/2)*AW34+(1-EXP(-LN(2)/2))/(LN(2)/2)*AQ35*AT35*VLOOKUP('Données projet'!$B$10,Paramètres!$A$1:$I$89,3,0)*0.475*44/12</f>
        <v>8.1684350680027773</v>
      </c>
      <c r="AX35" s="23">
        <f t="shared" si="6"/>
        <v>59.892085203832423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6.8888888888888893</v>
      </c>
      <c r="BD35" s="13">
        <f>IF('Données projet'!$A$88&gt;35,BD34+BC35-BL34,IF(A35&lt;'Données projet'!$A$88,$BA$205^A35,IF(A35='Données projet'!$A$88,'Données projet'!$B$88,BD34+BC35-BL34)))</f>
        <v>145.44444444444443</v>
      </c>
      <c r="BE35" s="14">
        <f>BD35*VLOOKUP('Données projet'!$B$11,Paramètres!$A$1:$I$89,3,0)*VLOOKUP('Données projet'!$B$11,Paramètres!$A$1:$I$89,5,0)</f>
        <v>68.067999999999998</v>
      </c>
      <c r="BF35" s="14">
        <f t="shared" si="37"/>
        <v>19.192895159755647</v>
      </c>
      <c r="BG35" s="22">
        <f t="shared" si="7"/>
        <v>151.97939240324109</v>
      </c>
      <c r="BH35" s="62">
        <f t="shared" si="8"/>
        <v>445.31272573657441</v>
      </c>
      <c r="BI35" s="62">
        <f ca="1">AVERAGE(OFFSET($BH$3,0,0,'Données projet'!$E$11+1,1))-AVERAGE(OFFSET($H$3,0,0,'Données projet'!$E$11+1,1))</f>
        <v>90.829393941874685</v>
      </c>
      <c r="BJ35" s="62">
        <f t="shared" si="38"/>
        <v>113.5315547498717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2.8907040230858363</v>
      </c>
      <c r="BQ35" s="23">
        <f>EXP(-LN(2)/25)*BQ34+(1-EXP(-LN(2)/25))/(LN(2)/25)*Calculateur!BL35*Calculateur!BN35*VLOOKUP('Données projet'!$B$11,Paramètres!$A$1:$I$89,3,0)*0.475*44/12</f>
        <v>5.3986256733267606</v>
      </c>
      <c r="BR35" s="23">
        <f>EXP(-LN(2)/2)*BR34+(1-EXP(-LN(2)/2))/(LN(2)/2)*BL35*BO35*VLOOKUP('Données projet'!$B$11,Paramètres!$A$1:$I$89,3,0)*0.475*44/12</f>
        <v>1.1571730208876314</v>
      </c>
      <c r="BS35" s="24">
        <f t="shared" si="9"/>
        <v>9.4465027173002287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15.2</v>
      </c>
      <c r="BY35" s="13">
        <f>IF('Données projet'!$A$114&gt;35,BY34+BX35-CG34,IF(A35&lt;'Données projet'!$A$114,$BV$205^A35,IF(A35='Données projet'!$A$114,'Données projet'!$B$114,BY34+BX35-CG34)))</f>
        <v>193.40000000000003</v>
      </c>
      <c r="BZ35" s="14">
        <f>BY35*VLOOKUP('Données projet'!$B$12,Paramètres!$A$1:$I$89,3,0)*VLOOKUP('Données projet'!$B$12,Paramètres!$A$1:$I$89,5,0)</f>
        <v>126.71568000000002</v>
      </c>
      <c r="CA35" s="14">
        <f t="shared" si="39"/>
        <v>33.236322902461559</v>
      </c>
      <c r="CB35" s="22">
        <f t="shared" si="10"/>
        <v>278.58307172178723</v>
      </c>
      <c r="CC35" s="62">
        <f t="shared" si="11"/>
        <v>571.91640505512055</v>
      </c>
      <c r="CD35" s="62">
        <f ca="1">AVERAGE(OFFSET($CC$3,0,0,'Données projet'!$E$12+1,1))-AVERAGE(OFFSET($H$3,0,0,'Données projet'!$E$12+1,1))</f>
        <v>211.95495599943246</v>
      </c>
      <c r="CE35" s="62">
        <f t="shared" si="40"/>
        <v>270.47407508916842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2.3960559661971192</v>
      </c>
      <c r="CL35" s="23">
        <f>EXP(-LN(2)/25)*CL34+(1-EXP(-LN(2)/25))/(LN(2)/25)*Calculateur!CG35*Calculateur!CI35*VLOOKUP('Données projet'!$B$12,Paramètres!$A$1:$I$89,3,0)*0.475*44/12</f>
        <v>16.199660458031751</v>
      </c>
      <c r="CM35" s="23">
        <f>EXP(-LN(2)/2)*CM34+(1-EXP(-LN(2)/2))/(LN(2)/2)*CG35*CJ35*VLOOKUP('Données projet'!$B$12,Paramètres!$A$1:$I$89,3,0)*0.475*44/12</f>
        <v>6.313695136646845</v>
      </c>
      <c r="CN35" s="24">
        <f t="shared" si="12"/>
        <v>24.909411560875714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24.6</v>
      </c>
      <c r="N36" s="14">
        <f>IF('Données projet'!$A$36&gt;35,N35+M36-V35,IF(A36&lt;'Données projet'!$A$36,$K$205^A36,IF(A36='Données projet'!$A$36,'Données projet'!$B$36,N35+M36-V35)))</f>
        <v>509.80000000000024</v>
      </c>
      <c r="O36" s="14">
        <f>N36*VLOOKUP('Données projet'!$B$9,Paramètres!$A$1:$I$89,3,0)*VLOOKUP('Données projet'!$B$9,Paramètres!$A$1:$I$89,5,0)</f>
        <v>284.97820000000013</v>
      </c>
      <c r="P36" s="14">
        <f t="shared" si="33"/>
        <v>68.017964183169582</v>
      </c>
      <c r="Q36" s="22">
        <f t="shared" si="53"/>
        <v>614.8016526190205</v>
      </c>
      <c r="R36" s="62">
        <f t="shared" si="0"/>
        <v>908.13498595235387</v>
      </c>
      <c r="S36" s="62">
        <f ca="1">AVERAGE(OFFSET($R$3,0,0,'Données projet'!$E$9+1,1))-AVERAGE(OFFSET($H$3,0,0,'Données projet'!$E$9+1,1))</f>
        <v>446.5364328843699</v>
      </c>
      <c r="T36" s="62">
        <f t="shared" si="34"/>
        <v>559.96606361482179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5.1515269738315785</v>
      </c>
      <c r="AA36" s="23">
        <f>EXP(-LN(2)/25)*AA35+(1-EXP(-LN(2)/25))/(LN(2)/25)*Calculateur!V36*Calculateur!X36*VLOOKUP('Données projet'!$B$9,Paramètres!$A$1:$I$89,3,0)*0.475*44/12</f>
        <v>9.9110261248564928</v>
      </c>
      <c r="AB36" s="23">
        <f>EXP(-LN(2)/2)*AB35+(1-EXP(-LN(2)/2))/(LN(2)/2)*V36*Y36*VLOOKUP('Données projet'!$B$9,Paramètres!$A$1:$I$89,3,0)*0.475*44/12</f>
        <v>4.6286707380458445</v>
      </c>
      <c r="AC36" s="24">
        <f t="shared" si="3"/>
        <v>19.691223836733915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</v>
      </c>
      <c r="AI36" s="14">
        <f>IF('Données projet'!$A$62&gt;35,AI35+AH36-AQ35,IF(A36&lt;'Données projet'!$A$62,$AF$205^A36,IF(A36='Données projet'!$A$62,'Données projet'!$B$62,AI35+AH36-AQ35)))</f>
        <v>223.99999999999994</v>
      </c>
      <c r="AJ36" s="14">
        <f>AI36*VLOOKUP('Données projet'!$B$10,Paramètres!$A$1:$I$89,3,0)*VLOOKUP('Données projet'!$B$10,Paramètres!$A$1:$I$89,5,0)</f>
        <v>122.30399999999996</v>
      </c>
      <c r="AK36" s="14">
        <f t="shared" si="35"/>
        <v>32.211773226559373</v>
      </c>
      <c r="AL36" s="22">
        <f t="shared" si="4"/>
        <v>269.11497170292415</v>
      </c>
      <c r="AM36" s="62">
        <f t="shared" si="5"/>
        <v>562.44830503625747</v>
      </c>
      <c r="AN36" s="62">
        <f ca="1">AVERAGE(OFFSET($AM$3,0,0,'Données projet'!$E$10+1,1))-AVERAGE(OFFSET($H$3,0,0,'Données projet'!$E$10+1,1))</f>
        <v>164.0740581424559</v>
      </c>
      <c r="AO36" s="62">
        <f t="shared" si="36"/>
        <v>280.99861170359793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15.445991032681331</v>
      </c>
      <c r="AV36" s="23">
        <f>EXP(-LN(2)/25)*AV35+(1-EXP(-LN(2)/25))/(LN(2)/25)*Calculateur!AQ36*Calculateur!AS36*VLOOKUP('Données projet'!$B$10,Paramètres!$A$1:$I$89,3,0)*0.475*44/12</f>
        <v>34.985148035969218</v>
      </c>
      <c r="AW36" s="23">
        <f>EXP(-LN(2)/2)*AW35+(1-EXP(-LN(2)/2))/(LN(2)/2)*AQ36*AT36*VLOOKUP('Données projet'!$B$10,Paramètres!$A$1:$I$89,3,0)*0.475*44/12</f>
        <v>5.7759558282667616</v>
      </c>
      <c r="AX36" s="23">
        <f t="shared" si="6"/>
        <v>56.207094896917312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6.8888888888888893</v>
      </c>
      <c r="BD36" s="13">
        <f>IF('Données projet'!$A$88&gt;35,BD35+BC36-BL35,IF(A36&lt;'Données projet'!$A$88,$BA$205^A36,IF(A36='Données projet'!$A$88,'Données projet'!$B$88,BD35+BC36-BL35)))</f>
        <v>152.33333333333331</v>
      </c>
      <c r="BE36" s="14">
        <f>BD36*VLOOKUP('Données projet'!$B$11,Paramètres!$A$1:$I$89,3,0)*VLOOKUP('Données projet'!$B$11,Paramètres!$A$1:$I$89,5,0)</f>
        <v>71.291999999999987</v>
      </c>
      <c r="BF36" s="14">
        <f t="shared" si="37"/>
        <v>19.993964393640923</v>
      </c>
      <c r="BG36" s="22">
        <f t="shared" si="7"/>
        <v>158.98972131892458</v>
      </c>
      <c r="BH36" s="62">
        <f t="shared" si="8"/>
        <v>452.32305465225789</v>
      </c>
      <c r="BI36" s="62">
        <f ca="1">AVERAGE(OFFSET($BH$3,0,0,'Données projet'!$E$11+1,1))-AVERAGE(OFFSET($H$3,0,0,'Données projet'!$E$11+1,1))</f>
        <v>90.829393941874685</v>
      </c>
      <c r="BJ36" s="62">
        <f t="shared" si="38"/>
        <v>113.5315547498717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2.8340190803484799</v>
      </c>
      <c r="BQ36" s="23">
        <f>EXP(-LN(2)/25)*BQ35+(1-EXP(-LN(2)/25))/(LN(2)/25)*Calculateur!BL36*Calculateur!BN36*VLOOKUP('Données projet'!$B$11,Paramètres!$A$1:$I$89,3,0)*0.475*44/12</f>
        <v>5.2509999703882553</v>
      </c>
      <c r="BR36" s="23">
        <f>EXP(-LN(2)/2)*BR35+(1-EXP(-LN(2)/2))/(LN(2)/2)*BL36*BO36*VLOOKUP('Données projet'!$B$11,Paramètres!$A$1:$I$89,3,0)*0.475*44/12</f>
        <v>0.81824489007576662</v>
      </c>
      <c r="BS36" s="24">
        <f t="shared" si="9"/>
        <v>8.9032639408125007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15.2</v>
      </c>
      <c r="BY36" s="13">
        <f>IF('Données projet'!$A$114&gt;35,BY35+BX36-CG35,IF(A36&lt;'Données projet'!$A$114,$BV$205^A36,IF(A36='Données projet'!$A$114,'Données projet'!$B$114,BY35+BX36-CG35)))</f>
        <v>208.60000000000002</v>
      </c>
      <c r="BZ36" s="14">
        <f>BY36*VLOOKUP('Données projet'!$B$12,Paramètres!$A$1:$I$89,3,0)*VLOOKUP('Données projet'!$B$12,Paramètres!$A$1:$I$89,5,0)</f>
        <v>136.67472000000001</v>
      </c>
      <c r="CA36" s="14">
        <f t="shared" si="39"/>
        <v>35.534168063457791</v>
      </c>
      <c r="CB36" s="22">
        <f t="shared" si="10"/>
        <v>299.93048004385565</v>
      </c>
      <c r="CC36" s="62">
        <f t="shared" si="11"/>
        <v>593.26381337718897</v>
      </c>
      <c r="CD36" s="62">
        <f ca="1">AVERAGE(OFFSET($CC$3,0,0,'Données projet'!$E$12+1,1))-AVERAGE(OFFSET($H$3,0,0,'Données projet'!$E$12+1,1))</f>
        <v>211.95495599943246</v>
      </c>
      <c r="CE36" s="62">
        <f t="shared" si="40"/>
        <v>270.47407508916842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2.3490707701498268</v>
      </c>
      <c r="CL36" s="23">
        <f>EXP(-LN(2)/25)*CL35+(1-EXP(-LN(2)/25))/(LN(2)/25)*Calculateur!CG36*Calculateur!CI36*VLOOKUP('Données projet'!$B$12,Paramètres!$A$1:$I$89,3,0)*0.475*44/12</f>
        <v>15.756679890903754</v>
      </c>
      <c r="CM36" s="23">
        <f>EXP(-LN(2)/2)*CM35+(1-EXP(-LN(2)/2))/(LN(2)/2)*CG36*CJ36*VLOOKUP('Données projet'!$B$12,Paramètres!$A$1:$I$89,3,0)*0.475*44/12</f>
        <v>4.4644566454675099</v>
      </c>
      <c r="CN36" s="24">
        <f t="shared" si="12"/>
        <v>22.570207306521091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24.6</v>
      </c>
      <c r="N37" s="14">
        <f>IF('Données projet'!$A$36&gt;35,N36+M37-V36,IF(A37&lt;'Données projet'!$A$36,$K$205^A37,IF(A37='Données projet'!$A$36,'Données projet'!$B$36,N36+M37-V36)))</f>
        <v>534.4000000000002</v>
      </c>
      <c r="O37" s="14">
        <f>N37*VLOOKUP('Données projet'!$B$9,Paramètres!$A$1:$I$89,3,0)*VLOOKUP('Données projet'!$B$9,Paramètres!$A$1:$I$89,5,0)</f>
        <v>298.72960000000012</v>
      </c>
      <c r="P37" s="14">
        <f t="shared" si="33"/>
        <v>70.910073097686976</v>
      </c>
      <c r="Q37" s="22">
        <f t="shared" si="53"/>
        <v>643.78909731180499</v>
      </c>
      <c r="R37" s="62">
        <f t="shared" si="0"/>
        <v>937.12243064513837</v>
      </c>
      <c r="S37" s="62">
        <f ca="1">AVERAGE(OFFSET($R$3,0,0,'Données projet'!$E$9+1,1))-AVERAGE(OFFSET($H$3,0,0,'Données projet'!$E$9+1,1))</f>
        <v>446.5364328843699</v>
      </c>
      <c r="T37" s="62">
        <f t="shared" si="34"/>
        <v>559.96606361482179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5.0505086719959369</v>
      </c>
      <c r="AA37" s="23">
        <f>EXP(-LN(2)/25)*AA36+(1-EXP(-LN(2)/25))/(LN(2)/25)*Calculateur!V37*Calculateur!X37*VLOOKUP('Données projet'!$B$9,Paramètres!$A$1:$I$89,3,0)*0.475*44/12</f>
        <v>9.6400085942740805</v>
      </c>
      <c r="AB37" s="23">
        <f>EXP(-LN(2)/2)*AB36+(1-EXP(-LN(2)/2))/(LN(2)/2)*V37*Y37*VLOOKUP('Données projet'!$B$9,Paramètres!$A$1:$I$89,3,0)*0.475*44/12</f>
        <v>3.2729644667519588</v>
      </c>
      <c r="AC37" s="24">
        <f t="shared" si="3"/>
        <v>17.963481733021975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</v>
      </c>
      <c r="AI37" s="14">
        <f>IF('Données projet'!$A$62&gt;35,AI36+AH37-AQ36,IF(A37&lt;'Données projet'!$A$62,$AF$205^A37,IF(A37='Données projet'!$A$62,'Données projet'!$B$62,AI36+AH37-AQ36)))</f>
        <v>238.99999999999994</v>
      </c>
      <c r="AJ37" s="14">
        <f>AI37*VLOOKUP('Données projet'!$B$10,Paramètres!$A$1:$I$89,3,0)*VLOOKUP('Données projet'!$B$10,Paramètres!$A$1:$I$89,5,0)</f>
        <v>130.49399999999997</v>
      </c>
      <c r="AK37" s="14">
        <f t="shared" si="35"/>
        <v>34.110483018610772</v>
      </c>
      <c r="AL37" s="22">
        <f t="shared" si="4"/>
        <v>286.68614125741368</v>
      </c>
      <c r="AM37" s="62">
        <f t="shared" si="5"/>
        <v>580.019474590747</v>
      </c>
      <c r="AN37" s="62">
        <f ca="1">AVERAGE(OFFSET($AM$3,0,0,'Données projet'!$E$10+1,1))-AVERAGE(OFFSET($H$3,0,0,'Données projet'!$E$10+1,1))</f>
        <v>164.0740581424559</v>
      </c>
      <c r="AO37" s="62">
        <f t="shared" si="36"/>
        <v>280.99861170359793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15.143104569654721</v>
      </c>
      <c r="AV37" s="23">
        <f>EXP(-LN(2)/25)*AV36+(1-EXP(-LN(2)/25))/(LN(2)/25)*Calculateur!AQ37*Calculateur!AS37*VLOOKUP('Données projet'!$B$10,Paramètres!$A$1:$I$89,3,0)*0.475*44/12</f>
        <v>34.028477323136663</v>
      </c>
      <c r="AW37" s="23">
        <f>EXP(-LN(2)/2)*AW36+(1-EXP(-LN(2)/2))/(LN(2)/2)*AQ37*AT37*VLOOKUP('Données projet'!$B$10,Paramètres!$A$1:$I$89,3,0)*0.475*44/12</f>
        <v>4.0842175340013895</v>
      </c>
      <c r="AX37" s="23">
        <f t="shared" si="6"/>
        <v>53.25579942679277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6.8888888888888893</v>
      </c>
      <c r="BD37" s="13">
        <f>IF('Données projet'!$A$88&gt;35,BD36+BC37-BL36,IF(A37&lt;'Données projet'!$A$88,$BA$205^A37,IF(A37='Données projet'!$A$88,'Données projet'!$B$88,BD36+BC37-BL36)))</f>
        <v>159.2222222222222</v>
      </c>
      <c r="BE37" s="14">
        <f>BD37*VLOOKUP('Données projet'!$B$11,Paramètres!$A$1:$I$89,3,0)*VLOOKUP('Données projet'!$B$11,Paramètres!$A$1:$I$89,5,0)</f>
        <v>74.515999999999991</v>
      </c>
      <c r="BF37" s="14">
        <f t="shared" si="37"/>
        <v>20.790826447803102</v>
      </c>
      <c r="BG37" s="22">
        <f t="shared" si="7"/>
        <v>165.99272272992371</v>
      </c>
      <c r="BH37" s="62">
        <f t="shared" si="8"/>
        <v>459.32605606325706</v>
      </c>
      <c r="BI37" s="62">
        <f ca="1">AVERAGE(OFFSET($BH$3,0,0,'Données projet'!$E$11+1,1))-AVERAGE(OFFSET($H$3,0,0,'Données projet'!$E$11+1,1))</f>
        <v>90.829393941874685</v>
      </c>
      <c r="BJ37" s="62">
        <f t="shared" si="38"/>
        <v>113.5315547498717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2.7784456947638021</v>
      </c>
      <c r="BQ37" s="23">
        <f>EXP(-LN(2)/25)*BQ36+(1-EXP(-LN(2)/25))/(LN(2)/25)*Calculateur!BL37*Calculateur!BN37*VLOOKUP('Données projet'!$B$11,Paramètres!$A$1:$I$89,3,0)*0.475*44/12</f>
        <v>5.1074111000599016</v>
      </c>
      <c r="BR37" s="23">
        <f>EXP(-LN(2)/2)*BR36+(1-EXP(-LN(2)/2))/(LN(2)/2)*BL37*BO37*VLOOKUP('Données projet'!$B$11,Paramètres!$A$1:$I$89,3,0)*0.475*44/12</f>
        <v>0.57858651044381582</v>
      </c>
      <c r="BS37" s="24">
        <f t="shared" si="9"/>
        <v>8.4644433052675208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15.2</v>
      </c>
      <c r="BY37" s="13">
        <f>IF('Données projet'!$A$114&gt;35,BY36+BX37-CG36,IF(A37&lt;'Données projet'!$A$114,$BV$205^A37,IF(A37='Données projet'!$A$114,'Données projet'!$B$114,BY36+BX37-CG36)))</f>
        <v>223.8</v>
      </c>
      <c r="BZ37" s="14">
        <f>BY37*VLOOKUP('Données projet'!$B$12,Paramètres!$A$1:$I$89,3,0)*VLOOKUP('Données projet'!$B$12,Paramètres!$A$1:$I$89,5,0)</f>
        <v>146.63376</v>
      </c>
      <c r="CA37" s="14">
        <f t="shared" si="39"/>
        <v>37.812587902416553</v>
      </c>
      <c r="CB37" s="22">
        <f t="shared" si="10"/>
        <v>321.24405593004218</v>
      </c>
      <c r="CC37" s="62">
        <f t="shared" si="11"/>
        <v>614.57738926337549</v>
      </c>
      <c r="CD37" s="62">
        <f ca="1">AVERAGE(OFFSET($CC$3,0,0,'Données projet'!$E$12+1,1))-AVERAGE(OFFSET($H$3,0,0,'Données projet'!$E$12+1,1))</f>
        <v>211.95495599943246</v>
      </c>
      <c r="CE37" s="62">
        <f t="shared" si="40"/>
        <v>270.47407508916842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2.3030069251388818</v>
      </c>
      <c r="CL37" s="23">
        <f>EXP(-LN(2)/25)*CL36+(1-EXP(-LN(2)/25))/(LN(2)/25)*Calculateur!CG37*Calculateur!CI37*VLOOKUP('Données projet'!$B$12,Paramètres!$A$1:$I$89,3,0)*0.475*44/12</f>
        <v>15.325812650679207</v>
      </c>
      <c r="CM37" s="23">
        <f>EXP(-LN(2)/2)*CM36+(1-EXP(-LN(2)/2))/(LN(2)/2)*CG37*CJ37*VLOOKUP('Données projet'!$B$12,Paramètres!$A$1:$I$89,3,0)*0.475*44/12</f>
        <v>3.1568475683234225</v>
      </c>
      <c r="CN37" s="24">
        <f t="shared" si="12"/>
        <v>20.78566714414151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559</v>
      </c>
      <c r="L38" s="13">
        <f>VLOOKUP(A38,'Données projet'!$A$35:$I$55,9,0)</f>
        <v>24.6</v>
      </c>
      <c r="M38" s="13">
        <f t="array" ref="M38">INDEX(L:L,MIN(IF(ISNUMBER(L38:L234),ROW(L38:L234),"")))</f>
        <v>24.6</v>
      </c>
      <c r="N38" s="14">
        <f>IF('Données projet'!$A$36&gt;35,N37+M38-V37,IF(A38&lt;'Données projet'!$A$36,$K$205^A38,IF(A38='Données projet'!$A$36,'Données projet'!$B$36,N37+M38-V37)))</f>
        <v>559.00000000000023</v>
      </c>
      <c r="O38" s="14">
        <f>N38*VLOOKUP('Données projet'!$B$9,Paramètres!$A$1:$I$89,3,0)*VLOOKUP('Données projet'!$B$9,Paramètres!$A$1:$I$89,5,0)</f>
        <v>312.48100000000011</v>
      </c>
      <c r="P38" s="14">
        <f t="shared" si="33"/>
        <v>73.786721094721486</v>
      </c>
      <c r="Q38" s="22">
        <f t="shared" si="53"/>
        <v>672.74961423997343</v>
      </c>
      <c r="R38" s="62">
        <f t="shared" si="0"/>
        <v>966.08294757330668</v>
      </c>
      <c r="S38" s="62">
        <f ca="1">AVERAGE(OFFSET($R$3,0,0,'Données projet'!$E$9+1,1))-AVERAGE(OFFSET($H$3,0,0,'Données projet'!$E$9+1,1))</f>
        <v>446.5364328843699</v>
      </c>
      <c r="T38" s="62">
        <f t="shared" si="34"/>
        <v>559.96606361482179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61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4.9514712774442113</v>
      </c>
      <c r="AA38" s="23">
        <f>EXP(-LN(2)/25)*AA37+(1-EXP(-LN(2)/25))/(LN(2)/25)*Calculateur!V38*Calculateur!X38*VLOOKUP('Données projet'!$B$9,Paramètres!$A$1:$I$89,3,0)*0.475*44/12</f>
        <v>9.376402052317637</v>
      </c>
      <c r="AB38" s="23">
        <f>EXP(-LN(2)/2)*AB37+(1-EXP(-LN(2)/2))/(LN(2)/2)*V38*Y38*VLOOKUP('Données projet'!$B$9,Paramètres!$A$1:$I$89,3,0)*0.475*44/12</f>
        <v>2.3143353690229227</v>
      </c>
      <c r="AC38" s="24">
        <f t="shared" si="3"/>
        <v>16.642208698784771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15</v>
      </c>
      <c r="AI38" s="14">
        <f>IF('Données projet'!$A$62&gt;35,AI37+AH38-AQ37,IF(A38&lt;'Données projet'!$A$62,$AF$205^A38,IF(A38='Données projet'!$A$62,'Données projet'!$B$62,AI37+AH38-AQ37)))</f>
        <v>253.99999999999994</v>
      </c>
      <c r="AJ38" s="14">
        <f>AI38*VLOOKUP('Données projet'!$B$10,Paramètres!$A$1:$I$89,3,0)*VLOOKUP('Données projet'!$B$10,Paramètres!$A$1:$I$89,5,0)</f>
        <v>138.68399999999997</v>
      </c>
      <c r="AK38" s="14">
        <f t="shared" si="35"/>
        <v>35.995362862956796</v>
      </c>
      <c r="AL38" s="22">
        <f t="shared" si="4"/>
        <v>304.23322365298299</v>
      </c>
      <c r="AM38" s="62">
        <f t="shared" si="5"/>
        <v>597.5665569863163</v>
      </c>
      <c r="AN38" s="62">
        <f ca="1">AVERAGE(OFFSET($AM$3,0,0,'Données projet'!$E$10+1,1))-AVERAGE(OFFSET($H$3,0,0,'Données projet'!$E$10+1,1))</f>
        <v>164.0740581424559</v>
      </c>
      <c r="AO38" s="62">
        <f t="shared" si="36"/>
        <v>280.99861170359793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14.846157525425562</v>
      </c>
      <c r="AV38" s="23">
        <f>EXP(-LN(2)/25)*AV37+(1-EXP(-LN(2)/25))/(LN(2)/25)*Calculateur!AQ38*Calculateur!AS38*VLOOKUP('Données projet'!$B$10,Paramètres!$A$1:$I$89,3,0)*0.475*44/12</f>
        <v>33.097966821255639</v>
      </c>
      <c r="AW38" s="23">
        <f>EXP(-LN(2)/2)*AW37+(1-EXP(-LN(2)/2))/(LN(2)/2)*AQ38*AT38*VLOOKUP('Données projet'!$B$10,Paramètres!$A$1:$I$89,3,0)*0.475*44/12</f>
        <v>2.8879779141333817</v>
      </c>
      <c r="AX38" s="23">
        <f t="shared" si="6"/>
        <v>50.83210226081458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6.8888888888888893</v>
      </c>
      <c r="BD38" s="13">
        <f>IF('Données projet'!$A$88&gt;35,BD37+BC38-BL37,IF(A38&lt;'Données projet'!$A$88,$BA$205^A38,IF(A38='Données projet'!$A$88,'Données projet'!$B$88,BD37+BC38-BL37)))</f>
        <v>166.11111111111109</v>
      </c>
      <c r="BE38" s="14">
        <f>BD38*VLOOKUP('Données projet'!$B$11,Paramètres!$A$1:$I$89,3,0)*VLOOKUP('Données projet'!$B$11,Paramètres!$A$1:$I$89,5,0)</f>
        <v>77.739999999999995</v>
      </c>
      <c r="BF38" s="14">
        <f t="shared" si="37"/>
        <v>21.583684155853891</v>
      </c>
      <c r="BG38" s="22">
        <f t="shared" si="7"/>
        <v>172.98874990477884</v>
      </c>
      <c r="BH38" s="62">
        <f t="shared" si="8"/>
        <v>466.32208323811216</v>
      </c>
      <c r="BI38" s="62">
        <f ca="1">AVERAGE(OFFSET($BH$3,0,0,'Données projet'!$E$11+1,1))-AVERAGE(OFFSET($H$3,0,0,'Données projet'!$E$11+1,1))</f>
        <v>90.829393941874685</v>
      </c>
      <c r="BJ38" s="62">
        <f t="shared" si="38"/>
        <v>113.5315547498717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2.7239620693740214</v>
      </c>
      <c r="BQ38" s="23">
        <f>EXP(-LN(2)/25)*BQ37+(1-EXP(-LN(2)/25))/(LN(2)/25)*Calculateur!BL38*Calculateur!BN38*VLOOKUP('Données projet'!$B$11,Paramètres!$A$1:$I$89,3,0)*0.475*44/12</f>
        <v>4.9677486749416868</v>
      </c>
      <c r="BR38" s="23">
        <f>EXP(-LN(2)/2)*BR37+(1-EXP(-LN(2)/2))/(LN(2)/2)*BL38*BO38*VLOOKUP('Données projet'!$B$11,Paramètres!$A$1:$I$89,3,0)*0.475*44/12</f>
        <v>0.40912244503788336</v>
      </c>
      <c r="BS38" s="24">
        <f t="shared" si="9"/>
        <v>8.1008331893535921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239</v>
      </c>
      <c r="BW38" s="13">
        <f>VLOOKUP(A38,'Données projet'!$A$113:$I$133,9,0)</f>
        <v>15.2</v>
      </c>
      <c r="BX38" s="13">
        <f t="array" ref="BX38">INDEX(BW:BW,MIN(IF(ISNUMBER(BW38:BW234),ROW(BW38:BW234),"")))</f>
        <v>15.2</v>
      </c>
      <c r="BY38" s="13">
        <f>IF('Données projet'!$A$114&gt;35,BY37+BX38-CG37,IF(A38&lt;'Données projet'!$A$114,$BV$205^A38,IF(A38='Données projet'!$A$114,'Données projet'!$B$114,BY37+BX38-CG37)))</f>
        <v>239</v>
      </c>
      <c r="BZ38" s="14">
        <f>BY38*VLOOKUP('Données projet'!$B$12,Paramètres!$A$1:$I$89,3,0)*VLOOKUP('Données projet'!$B$12,Paramètres!$A$1:$I$89,5,0)</f>
        <v>156.59280000000001</v>
      </c>
      <c r="CA38" s="14">
        <f t="shared" si="39"/>
        <v>40.073051842658209</v>
      </c>
      <c r="CB38" s="22">
        <f t="shared" si="10"/>
        <v>342.52635862596304</v>
      </c>
      <c r="CC38" s="62">
        <f t="shared" si="11"/>
        <v>635.85969195929636</v>
      </c>
      <c r="CD38" s="62">
        <f ca="1">AVERAGE(OFFSET($CC$3,0,0,'Données projet'!$E$12+1,1))-AVERAGE(OFFSET($H$3,0,0,'Données projet'!$E$12+1,1))</f>
        <v>211.95495599943246</v>
      </c>
      <c r="CE38" s="62">
        <f t="shared" si="40"/>
        <v>270.47407508916842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2.2578463640324307</v>
      </c>
      <c r="CL38" s="23">
        <f>EXP(-LN(2)/25)*CL37+(1-EXP(-LN(2)/25))/(LN(2)/25)*Calculateur!CG38*Calculateur!CI38*VLOOKUP('Données projet'!$B$12,Paramètres!$A$1:$I$89,3,0)*0.475*44/12</f>
        <v>14.906727497796926</v>
      </c>
      <c r="CM38" s="23">
        <f>EXP(-LN(2)/2)*CM37+(1-EXP(-LN(2)/2))/(LN(2)/2)*CG38*CJ38*VLOOKUP('Données projet'!$B$12,Paramètres!$A$1:$I$89,3,0)*0.475*44/12</f>
        <v>2.2322283227337549</v>
      </c>
      <c r="CN38" s="24">
        <f t="shared" si="12"/>
        <v>19.396802184563111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21.8</v>
      </c>
      <c r="N39" s="14">
        <f>IF('Données projet'!$A$36&gt;35,N38+M39-V38,IF(A39&lt;'Données projet'!$A$36,$K$205^A39,IF(A39='Données projet'!$A$36,'Données projet'!$B$36,N38+M39-V38)))</f>
        <v>519.80000000000018</v>
      </c>
      <c r="O39" s="14">
        <f>N39*VLOOKUP('Données projet'!$B$9,Paramètres!$A$1:$I$89,3,0)*VLOOKUP('Données projet'!$B$9,Paramètres!$A$1:$I$89,5,0)</f>
        <v>290.5682000000001</v>
      </c>
      <c r="P39" s="14">
        <f t="shared" si="33"/>
        <v>69.195534926178652</v>
      </c>
      <c r="Q39" s="22">
        <f t="shared" si="53"/>
        <v>626.58850499642801</v>
      </c>
      <c r="R39" s="62">
        <f t="shared" si="0"/>
        <v>919.92183832976139</v>
      </c>
      <c r="S39" s="62">
        <f ca="1">AVERAGE(OFFSET($R$3,0,0,'Données projet'!$E$9+1,1))-AVERAGE(OFFSET($H$3,0,0,'Données projet'!$E$9+1,1))</f>
        <v>446.5364328843699</v>
      </c>
      <c r="T39" s="62">
        <f t="shared" si="34"/>
        <v>559.96606361482179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4.8543759457927997</v>
      </c>
      <c r="AA39" s="23">
        <f>EXP(-LN(2)/25)*AA38+(1-EXP(-LN(2)/25))/(LN(2)/25)*Calculateur!V39*Calculateur!X39*VLOOKUP('Données projet'!$B$9,Paramètres!$A$1:$I$89,3,0)*0.475*44/12</f>
        <v>9.1200038451134571</v>
      </c>
      <c r="AB39" s="23">
        <f>EXP(-LN(2)/2)*AB38+(1-EXP(-LN(2)/2))/(LN(2)/2)*V39*Y39*VLOOKUP('Données projet'!$B$9,Paramètres!$A$1:$I$89,3,0)*0.475*44/12</f>
        <v>1.6364822333759796</v>
      </c>
      <c r="AC39" s="24">
        <f t="shared" si="3"/>
        <v>15.610862024282236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269</v>
      </c>
      <c r="AG39" s="13">
        <f>VLOOKUP(A39,'Données projet'!$A$61:$I$81,9,0)</f>
        <v>15</v>
      </c>
      <c r="AH39" s="13">
        <f t="array" ref="AH39">INDEX(AG:AG,MIN(IF(ISNUMBER(AG39:AG235),ROW(AG39:AG235),"")))</f>
        <v>15</v>
      </c>
      <c r="AI39" s="14">
        <f>IF('Données projet'!$A$62&gt;35,AI38+AH39-AQ38,IF(A39&lt;'Données projet'!$A$62,$AF$205^A39,IF(A39='Données projet'!$A$62,'Données projet'!$B$62,AI38+AH39-AQ38)))</f>
        <v>268.99999999999994</v>
      </c>
      <c r="AJ39" s="14">
        <f>AI39*VLOOKUP('Données projet'!$B$10,Paramètres!$A$1:$I$89,3,0)*VLOOKUP('Données projet'!$B$10,Paramètres!$A$1:$I$89,5,0)</f>
        <v>146.87399999999997</v>
      </c>
      <c r="AK39" s="14">
        <f t="shared" si="35"/>
        <v>37.867322517591383</v>
      </c>
      <c r="AL39" s="22">
        <f t="shared" si="4"/>
        <v>321.75780338480496</v>
      </c>
      <c r="AM39" s="62">
        <f t="shared" si="5"/>
        <v>615.09113671813827</v>
      </c>
      <c r="AN39" s="62">
        <f ca="1">AVERAGE(OFFSET($AM$3,0,0,'Données projet'!$E$10+1,1))-AVERAGE(OFFSET($H$3,0,0,'Données projet'!$E$10+1,1))</f>
        <v>164.0740581424559</v>
      </c>
      <c r="AO39" s="62">
        <f t="shared" si="36"/>
        <v>280.99861170359793</v>
      </c>
      <c r="AP39" s="16">
        <f>IF(ISNA(VLOOKUP(A39,'Données projet'!$A$61:$I$81,3,0)),0,VLOOKUP(A39,'Données projet'!$A$61:$I$81,3,0))</f>
        <v>6</v>
      </c>
      <c r="AQ39" s="16">
        <f>IF(ISNA(VLOOKUP(A39,'Données projet'!$A$61:$I$81,4,0)),0,VLOOKUP(A39,'Données projet'!$A$61:$I$81,4,0))</f>
        <v>75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14.555033431613925</v>
      </c>
      <c r="AV39" s="23">
        <f>EXP(-LN(2)/25)*AV38+(1-EXP(-LN(2)/25))/(LN(2)/25)*Calculateur!AQ39*Calculateur!AS39*VLOOKUP('Données projet'!$B$10,Paramètres!$A$1:$I$89,3,0)*0.475*44/12</f>
        <v>32.192901177981973</v>
      </c>
      <c r="AW39" s="23">
        <f>EXP(-LN(2)/2)*AW38+(1-EXP(-LN(2)/2))/(LN(2)/2)*AQ39*AT39*VLOOKUP('Données projet'!$B$10,Paramètres!$A$1:$I$89,3,0)*0.475*44/12</f>
        <v>2.0421087670006952</v>
      </c>
      <c r="AX39" s="23">
        <f t="shared" si="6"/>
        <v>48.7900433765966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173</v>
      </c>
      <c r="BB39" s="13">
        <f>VLOOKUP(A39,'Données projet'!$A$87:$I$107,9,0)</f>
        <v>6.8888888888888893</v>
      </c>
      <c r="BC39" s="13">
        <f t="array" ref="BC39">INDEX(BB:BB,MIN(IF(ISNUMBER(BB39:BB235),ROW(BB39:BB235),"")))</f>
        <v>6.8888888888888893</v>
      </c>
      <c r="BD39" s="13">
        <f>IF('Données projet'!$A$88&gt;35,BD38+BC39-BL38,IF(A39&lt;'Données projet'!$A$88,$BA$205^A39,IF(A39='Données projet'!$A$88,'Données projet'!$B$88,BD38+BC39-BL38)))</f>
        <v>172.99999999999997</v>
      </c>
      <c r="BE39" s="14">
        <f>BD39*VLOOKUP('Données projet'!$B$11,Paramètres!$A$1:$I$89,3,0)*VLOOKUP('Données projet'!$B$11,Paramètres!$A$1:$I$89,5,0)</f>
        <v>80.963999999999984</v>
      </c>
      <c r="BF39" s="14">
        <f t="shared" si="37"/>
        <v>22.37272257588274</v>
      </c>
      <c r="BG39" s="22">
        <f t="shared" si="7"/>
        <v>179.97812515299574</v>
      </c>
      <c r="BH39" s="62">
        <f t="shared" si="8"/>
        <v>473.31145848632906</v>
      </c>
      <c r="BI39" s="62">
        <f ca="1">AVERAGE(OFFSET($BH$3,0,0,'Données projet'!$E$11+1,1))-AVERAGE(OFFSET($H$3,0,0,'Données projet'!$E$11+1,1))</f>
        <v>90.829393941874685</v>
      </c>
      <c r="BJ39" s="62">
        <f t="shared" si="38"/>
        <v>113.5315547498717</v>
      </c>
      <c r="BK39" s="16">
        <f>IF(ISNA(VLOOKUP(A39,'Données projet'!$A$87:$I$107,3,0)),0,VLOOKUP(A39,'Données projet'!$A$87:$I$107,3,0))</f>
        <v>3</v>
      </c>
      <c r="BL39" s="16">
        <f>IF(ISNA(VLOOKUP(A39,'Données projet'!$A$87:$I$107,4,0)),0,VLOOKUP(A39,'Données projet'!$A$87:$I$107,4,0))</f>
        <v>40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2.6705468346464043</v>
      </c>
      <c r="BQ39" s="23">
        <f>EXP(-LN(2)/25)*BQ38+(1-EXP(-LN(2)/25))/(LN(2)/25)*Calculateur!BL39*Calculateur!BN39*VLOOKUP('Données projet'!$B$11,Paramètres!$A$1:$I$89,3,0)*0.475*44/12</f>
        <v>4.8319053261828575</v>
      </c>
      <c r="BR39" s="23">
        <f>EXP(-LN(2)/2)*BR38+(1-EXP(-LN(2)/2))/(LN(2)/2)*BL39*BO39*VLOOKUP('Données projet'!$B$11,Paramètres!$A$1:$I$89,3,0)*0.475*44/12</f>
        <v>0.28929325522190791</v>
      </c>
      <c r="BS39" s="24">
        <f t="shared" si="9"/>
        <v>7.7917454160511701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13.2</v>
      </c>
      <c r="BY39" s="13">
        <f>IF('Données projet'!$A$114&gt;35,BY38+BX39-CG38,IF(A39&lt;'Données projet'!$A$114,$BV$205^A39,IF(A39='Données projet'!$A$114,'Données projet'!$B$114,BY38+BX39-CG38)))</f>
        <v>210.2</v>
      </c>
      <c r="BZ39" s="14">
        <f>BY39*VLOOKUP('Données projet'!$B$12,Paramètres!$A$1:$I$89,3,0)*VLOOKUP('Données projet'!$B$12,Paramètres!$A$1:$I$89,5,0)</f>
        <v>137.72304</v>
      </c>
      <c r="CA39" s="14">
        <f t="shared" si="39"/>
        <v>35.774889172094717</v>
      </c>
      <c r="CB39" s="22">
        <f t="shared" si="10"/>
        <v>302.17555997473158</v>
      </c>
      <c r="CC39" s="62">
        <f t="shared" si="11"/>
        <v>595.5088933080649</v>
      </c>
      <c r="CD39" s="62">
        <f ca="1">AVERAGE(OFFSET($CC$3,0,0,'Données projet'!$E$12+1,1))-AVERAGE(OFFSET($H$3,0,0,'Données projet'!$E$12+1,1))</f>
        <v>211.95495599943246</v>
      </c>
      <c r="CE39" s="62">
        <f t="shared" si="40"/>
        <v>270.47407508916842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2.2135713739840543</v>
      </c>
      <c r="CL39" s="23">
        <f>EXP(-LN(2)/25)*CL38+(1-EXP(-LN(2)/25))/(LN(2)/25)*Calculateur!CG39*Calculateur!CI39*VLOOKUP('Données projet'!$B$12,Paramètres!$A$1:$I$89,3,0)*0.475*44/12</f>
        <v>14.49910225045894</v>
      </c>
      <c r="CM39" s="23">
        <f>EXP(-LN(2)/2)*CM38+(1-EXP(-LN(2)/2))/(LN(2)/2)*CG39*CJ39*VLOOKUP('Données projet'!$B$12,Paramètres!$A$1:$I$89,3,0)*0.475*44/12</f>
        <v>1.5784237841617113</v>
      </c>
      <c r="CN39" s="24">
        <f t="shared" si="12"/>
        <v>18.291097408604703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21.8</v>
      </c>
      <c r="N40" s="14">
        <f>IF('Données projet'!$A$36&gt;35,N39+M40-V39,IF(A40&lt;'Données projet'!$A$36,$K$205^A40,IF(A40='Données projet'!$A$36,'Données projet'!$B$36,N39+M40-V39)))</f>
        <v>541.60000000000014</v>
      </c>
      <c r="O40" s="14">
        <f>N40*VLOOKUP('Données projet'!$B$9,Paramètres!$A$1:$I$89,3,0)*VLOOKUP('Données projet'!$B$9,Paramètres!$A$1:$I$89,5,0)</f>
        <v>302.75440000000009</v>
      </c>
      <c r="P40" s="14">
        <f t="shared" si="33"/>
        <v>71.753584011735882</v>
      </c>
      <c r="Q40" s="22">
        <f t="shared" si="53"/>
        <v>652.26807215377346</v>
      </c>
      <c r="R40" s="62">
        <f t="shared" si="0"/>
        <v>945.60140548710683</v>
      </c>
      <c r="S40" s="62">
        <f ca="1">AVERAGE(OFFSET($R$3,0,0,'Données projet'!$E$9+1,1))-AVERAGE(OFFSET($H$3,0,0,'Données projet'!$E$9+1,1))</f>
        <v>446.5364328843699</v>
      </c>
      <c r="T40" s="62">
        <f t="shared" si="34"/>
        <v>559.96606361482179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4.7591845943727673</v>
      </c>
      <c r="AA40" s="23">
        <f>EXP(-LN(2)/25)*AA39+(1-EXP(-LN(2)/25))/(LN(2)/25)*Calculateur!V40*Calculateur!X40*VLOOKUP('Données projet'!$B$9,Paramètres!$A$1:$I$89,3,0)*0.475*44/12</f>
        <v>8.8706168603686706</v>
      </c>
      <c r="AB40" s="23">
        <f>EXP(-LN(2)/2)*AB39+(1-EXP(-LN(2)/2))/(LN(2)/2)*V40*Y40*VLOOKUP('Données projet'!$B$9,Paramètres!$A$1:$I$89,3,0)*0.475*44/12</f>
        <v>1.1571676845114616</v>
      </c>
      <c r="AC40" s="24">
        <f t="shared" si="3"/>
        <v>14.7869691392529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</v>
      </c>
      <c r="AI40" s="14">
        <f>IF('Données projet'!$A$62&gt;35,AI39+AH40-AQ39,IF(A40&lt;'Données projet'!$A$62,$AF$205^A40,IF(A40='Données projet'!$A$62,'Données projet'!$B$62,AI39+AH40-AQ39)))</f>
        <v>207.99999999999994</v>
      </c>
      <c r="AJ40" s="14">
        <f>AI40*VLOOKUP('Données projet'!$B$10,Paramètres!$A$1:$I$89,3,0)*VLOOKUP('Données projet'!$B$10,Paramètres!$A$1:$I$89,5,0)</f>
        <v>113.56799999999997</v>
      </c>
      <c r="AK40" s="14">
        <f t="shared" si="35"/>
        <v>30.170065062058185</v>
      </c>
      <c r="AL40" s="22">
        <f t="shared" si="4"/>
        <v>250.34379664975128</v>
      </c>
      <c r="AM40" s="62">
        <f t="shared" si="5"/>
        <v>543.67712998308457</v>
      </c>
      <c r="AN40" s="62">
        <f ca="1">AVERAGE(OFFSET($AM$3,0,0,'Données projet'!$E$10+1,1))-AVERAGE(OFFSET($H$3,0,0,'Données projet'!$E$10+1,1))</f>
        <v>164.0740581424559</v>
      </c>
      <c r="AO40" s="62">
        <f t="shared" si="36"/>
        <v>280.99861170359793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14.269618103713769</v>
      </c>
      <c r="AV40" s="23">
        <f>EXP(-LN(2)/25)*AV39+(1-EXP(-LN(2)/25))/(LN(2)/25)*Calculateur!AQ40*Calculateur!AS40*VLOOKUP('Données projet'!$B$10,Paramètres!$A$1:$I$89,3,0)*0.475*44/12</f>
        <v>31.31258460231896</v>
      </c>
      <c r="AW40" s="23">
        <f>EXP(-LN(2)/2)*AW39+(1-EXP(-LN(2)/2))/(LN(2)/2)*AQ40*AT40*VLOOKUP('Données projet'!$B$10,Paramètres!$A$1:$I$89,3,0)*0.475*44/12</f>
        <v>1.4439889570666911</v>
      </c>
      <c r="AX40" s="23">
        <f t="shared" si="6"/>
        <v>47.026191663099425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</v>
      </c>
      <c r="BD40" s="13">
        <f>IF('Données projet'!$A$88&gt;35,BD39+BC40-BL39,IF(A40&lt;'Données projet'!$A$88,$BA$205^A40,IF(A40='Données projet'!$A$88,'Données projet'!$B$88,BD39+BC40-BL39)))</f>
        <v>139.99999999999997</v>
      </c>
      <c r="BE40" s="14">
        <f>BD40*VLOOKUP('Données projet'!$B$11,Paramètres!$A$1:$I$89,3,0)*VLOOKUP('Données projet'!$B$11,Paramètres!$A$1:$I$89,5,0)</f>
        <v>65.519999999999982</v>
      </c>
      <c r="BF40" s="14">
        <f t="shared" si="37"/>
        <v>18.556669503136725</v>
      </c>
      <c r="BG40" s="22">
        <f t="shared" si="7"/>
        <v>146.43353271796309</v>
      </c>
      <c r="BH40" s="62">
        <f t="shared" si="8"/>
        <v>439.7668660512964</v>
      </c>
      <c r="BI40" s="62">
        <f ca="1">AVERAGE(OFFSET($BH$3,0,0,'Données projet'!$E$11+1,1))-AVERAGE(OFFSET($H$3,0,0,'Données projet'!$E$11+1,1))</f>
        <v>90.829393941874685</v>
      </c>
      <c r="BJ40" s="62">
        <f t="shared" si="38"/>
        <v>113.5315547498717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2.6181790400917198</v>
      </c>
      <c r="BQ40" s="23">
        <f>EXP(-LN(2)/25)*BQ39+(1-EXP(-LN(2)/25))/(LN(2)/25)*Calculateur!BL40*Calculateur!BN40*VLOOKUP('Données projet'!$B$11,Paramètres!$A$1:$I$89,3,0)*0.475*44/12</f>
        <v>4.69977662093953</v>
      </c>
      <c r="BR40" s="23">
        <f>EXP(-LN(2)/2)*BR39+(1-EXP(-LN(2)/2))/(LN(2)/2)*BL40*BO40*VLOOKUP('Données projet'!$B$11,Paramètres!$A$1:$I$89,3,0)*0.475*44/12</f>
        <v>0.20456122251894168</v>
      </c>
      <c r="BS40" s="24">
        <f t="shared" si="9"/>
        <v>7.5225168835501917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13.2</v>
      </c>
      <c r="BY40" s="13">
        <f>IF('Données projet'!$A$114&gt;35,BY39+BX40-CG39,IF(A40&lt;'Données projet'!$A$114,$BV$205^A40,IF(A40='Données projet'!$A$114,'Données projet'!$B$114,BY39+BX40-CG39)))</f>
        <v>223.39999999999998</v>
      </c>
      <c r="BZ40" s="14">
        <f>BY40*VLOOKUP('Données projet'!$B$12,Paramètres!$A$1:$I$89,3,0)*VLOOKUP('Données projet'!$B$12,Paramètres!$A$1:$I$89,5,0)</f>
        <v>146.37168</v>
      </c>
      <c r="CA40" s="14">
        <f t="shared" si="39"/>
        <v>37.752865506588051</v>
      </c>
      <c r="CB40" s="22">
        <f t="shared" si="10"/>
        <v>320.6835834239742</v>
      </c>
      <c r="CC40" s="62">
        <f t="shared" si="11"/>
        <v>614.01691675730751</v>
      </c>
      <c r="CD40" s="62">
        <f ca="1">AVERAGE(OFFSET($CC$3,0,0,'Données projet'!$E$12+1,1))-AVERAGE(OFFSET($H$3,0,0,'Données projet'!$E$12+1,1))</f>
        <v>211.95495599943246</v>
      </c>
      <c r="CE40" s="62">
        <f t="shared" si="40"/>
        <v>270.47407508916842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2.1701645894854495</v>
      </c>
      <c r="CL40" s="23">
        <f>EXP(-LN(2)/25)*CL39+(1-EXP(-LN(2)/25))/(LN(2)/25)*Calculateur!CG40*Calculateur!CI40*VLOOKUP('Données projet'!$B$12,Paramètres!$A$1:$I$89,3,0)*0.475*44/12</f>
        <v>14.10262353694549</v>
      </c>
      <c r="CM40" s="23">
        <f>EXP(-LN(2)/2)*CM39+(1-EXP(-LN(2)/2))/(LN(2)/2)*CG40*CJ40*VLOOKUP('Données projet'!$B$12,Paramètres!$A$1:$I$89,3,0)*0.475*44/12</f>
        <v>1.1161141613668775</v>
      </c>
      <c r="CN40" s="24">
        <f t="shared" si="12"/>
        <v>17.388902287797816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21.8</v>
      </c>
      <c r="N41" s="14">
        <f>IF('Données projet'!$A$36&gt;35,N40+M41-V40,IF(A41&lt;'Données projet'!$A$36,$K$205^A41,IF(A41='Données projet'!$A$36,'Données projet'!$B$36,N40+M41-V40)))</f>
        <v>563.40000000000009</v>
      </c>
      <c r="O41" s="14">
        <f>N41*VLOOKUP('Données projet'!$B$9,Paramètres!$A$1:$I$89,3,0)*VLOOKUP('Données projet'!$B$9,Paramètres!$A$1:$I$89,5,0)</f>
        <v>314.94060000000007</v>
      </c>
      <c r="P41" s="14">
        <f t="shared" si="33"/>
        <v>74.299672673282714</v>
      </c>
      <c r="Q41" s="22">
        <f t="shared" si="53"/>
        <v>677.92680823930084</v>
      </c>
      <c r="R41" s="62">
        <f t="shared" si="0"/>
        <v>971.26014157263421</v>
      </c>
      <c r="S41" s="62">
        <f ca="1">AVERAGE(OFFSET($R$3,0,0,'Données projet'!$E$9+1,1))-AVERAGE(OFFSET($H$3,0,0,'Données projet'!$E$9+1,1))</f>
        <v>446.5364328843699</v>
      </c>
      <c r="T41" s="62">
        <f t="shared" si="34"/>
        <v>559.96606361482179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4.6658598872930908</v>
      </c>
      <c r="AA41" s="23">
        <f>EXP(-LN(2)/25)*AA40+(1-EXP(-LN(2)/25))/(LN(2)/25)*Calculateur!V41*Calculateur!X41*VLOOKUP('Données projet'!$B$9,Paramètres!$A$1:$I$89,3,0)*0.475*44/12</f>
        <v>8.6280493758364223</v>
      </c>
      <c r="AB41" s="23">
        <f>EXP(-LN(2)/2)*AB40+(1-EXP(-LN(2)/2))/(LN(2)/2)*V41*Y41*VLOOKUP('Données projet'!$B$9,Paramètres!$A$1:$I$89,3,0)*0.475*44/12</f>
        <v>0.81824111668798993</v>
      </c>
      <c r="AC41" s="24">
        <f t="shared" si="3"/>
        <v>14.112150379817503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</v>
      </c>
      <c r="AI41" s="14">
        <f>IF('Données projet'!$A$62&gt;35,AI40+AH41-AQ40,IF(A41&lt;'Données projet'!$A$62,$AF$205^A41,IF(A41='Données projet'!$A$62,'Données projet'!$B$62,AI40+AH41-AQ40)))</f>
        <v>221.99999999999994</v>
      </c>
      <c r="AJ41" s="14">
        <f>AI41*VLOOKUP('Données projet'!$B$10,Paramètres!$A$1:$I$89,3,0)*VLOOKUP('Données projet'!$B$10,Paramètres!$A$1:$I$89,5,0)</f>
        <v>121.21199999999996</v>
      </c>
      <c r="AK41" s="14">
        <f t="shared" si="35"/>
        <v>31.95751284761706</v>
      </c>
      <c r="AL41" s="22">
        <f t="shared" si="4"/>
        <v>266.77023487626633</v>
      </c>
      <c r="AM41" s="62">
        <f t="shared" si="5"/>
        <v>560.10356820959964</v>
      </c>
      <c r="AN41" s="62">
        <f ca="1">AVERAGE(OFFSET($AM$3,0,0,'Données projet'!$E$10+1,1))-AVERAGE(OFFSET($H$3,0,0,'Données projet'!$E$10+1,1))</f>
        <v>164.0740581424559</v>
      </c>
      <c r="AO41" s="62">
        <f t="shared" si="36"/>
        <v>280.99861170359793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13.989799596307575</v>
      </c>
      <c r="AV41" s="23">
        <f>EXP(-LN(2)/25)*AV40+(1-EXP(-LN(2)/25))/(LN(2)/25)*Calculateur!AQ41*Calculateur!AS41*VLOOKUP('Données projet'!$B$10,Paramètres!$A$1:$I$89,3,0)*0.475*44/12</f>
        <v>30.456340329711288</v>
      </c>
      <c r="AW41" s="23">
        <f>EXP(-LN(2)/2)*AW40+(1-EXP(-LN(2)/2))/(LN(2)/2)*AQ41*AT41*VLOOKUP('Données projet'!$B$10,Paramètres!$A$1:$I$89,3,0)*0.475*44/12</f>
        <v>1.0210543835003478</v>
      </c>
      <c r="AX41" s="23">
        <f t="shared" si="6"/>
        <v>45.467194309519215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</v>
      </c>
      <c r="BD41" s="13">
        <f>IF('Données projet'!$A$88&gt;35,BD40+BC41-BL40,IF(A41&lt;'Données projet'!$A$88,$BA$205^A41,IF(A41='Données projet'!$A$88,'Données projet'!$B$88,BD40+BC41-BL40)))</f>
        <v>146.99999999999997</v>
      </c>
      <c r="BE41" s="14">
        <f>BD41*VLOOKUP('Données projet'!$B$11,Paramètres!$A$1:$I$89,3,0)*VLOOKUP('Données projet'!$B$11,Paramètres!$A$1:$I$89,5,0)</f>
        <v>68.795999999999992</v>
      </c>
      <c r="BF41" s="14">
        <f t="shared" si="37"/>
        <v>19.374160697102734</v>
      </c>
      <c r="BG41" s="22">
        <f t="shared" si="7"/>
        <v>153.56302988078724</v>
      </c>
      <c r="BH41" s="62">
        <f t="shared" si="8"/>
        <v>446.89636321412058</v>
      </c>
      <c r="BI41" s="62">
        <f ca="1">AVERAGE(OFFSET($BH$3,0,0,'Données projet'!$E$11+1,1))-AVERAGE(OFFSET($H$3,0,0,'Données projet'!$E$11+1,1))</f>
        <v>90.829393941874685</v>
      </c>
      <c r="BJ41" s="62">
        <f t="shared" si="38"/>
        <v>113.5315547498717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2.5668381460470515</v>
      </c>
      <c r="BQ41" s="23">
        <f>EXP(-LN(2)/25)*BQ40+(1-EXP(-LN(2)/25))/(LN(2)/25)*Calculateur!BL41*Calculateur!BN41*VLOOKUP('Données projet'!$B$11,Paramètres!$A$1:$I$89,3,0)*0.475*44/12</f>
        <v>4.5712609820894272</v>
      </c>
      <c r="BR41" s="23">
        <f>EXP(-LN(2)/2)*BR40+(1-EXP(-LN(2)/2))/(LN(2)/2)*BL41*BO41*VLOOKUP('Données projet'!$B$11,Paramètres!$A$1:$I$89,3,0)*0.475*44/12</f>
        <v>0.14464662761095395</v>
      </c>
      <c r="BS41" s="24">
        <f t="shared" si="9"/>
        <v>7.2827457557474329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13.2</v>
      </c>
      <c r="BY41" s="13">
        <f>IF('Données projet'!$A$114&gt;35,BY40+BX41-CG40,IF(A41&lt;'Données projet'!$A$114,$BV$205^A41,IF(A41='Données projet'!$A$114,'Données projet'!$B$114,BY40+BX41-CG40)))</f>
        <v>236.59999999999997</v>
      </c>
      <c r="BZ41" s="14">
        <f>BY41*VLOOKUP('Données projet'!$B$12,Paramètres!$A$1:$I$89,3,0)*VLOOKUP('Données projet'!$B$12,Paramètres!$A$1:$I$89,5,0)</f>
        <v>155.02031999999997</v>
      </c>
      <c r="CA41" s="14">
        <f t="shared" si="39"/>
        <v>39.717276240782901</v>
      </c>
      <c r="CB41" s="22">
        <f t="shared" si="10"/>
        <v>339.16798011936345</v>
      </c>
      <c r="CC41" s="62">
        <f t="shared" si="11"/>
        <v>632.50131345269676</v>
      </c>
      <c r="CD41" s="62">
        <f ca="1">AVERAGE(OFFSET($CC$3,0,0,'Données projet'!$E$12+1,1))-AVERAGE(OFFSET($H$3,0,0,'Données projet'!$E$12+1,1))</f>
        <v>211.95495599943246</v>
      </c>
      <c r="CE41" s="62">
        <f t="shared" si="40"/>
        <v>270.47407508916842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2.1276089855553377</v>
      </c>
      <c r="CL41" s="23">
        <f>EXP(-LN(2)/25)*CL40+(1-EXP(-LN(2)/25))/(LN(2)/25)*Calculateur!CG41*Calculateur!CI41*VLOOKUP('Données projet'!$B$12,Paramètres!$A$1:$I$89,3,0)*0.475*44/12</f>
        <v>13.716986554702975</v>
      </c>
      <c r="CM41" s="23">
        <f>EXP(-LN(2)/2)*CM40+(1-EXP(-LN(2)/2))/(LN(2)/2)*CG41*CJ41*VLOOKUP('Données projet'!$B$12,Paramètres!$A$1:$I$89,3,0)*0.475*44/12</f>
        <v>0.78921189208085563</v>
      </c>
      <c r="CN41" s="24">
        <f t="shared" si="12"/>
        <v>16.633807432339168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21.8</v>
      </c>
      <c r="N42" s="14">
        <f>IF('Données projet'!$A$36&gt;35,N41+M42-V41,IF(A42&lt;'Données projet'!$A$36,$K$205^A42,IF(A42='Données projet'!$A$36,'Données projet'!$B$36,N41+M42-V41)))</f>
        <v>585.20000000000005</v>
      </c>
      <c r="O42" s="14">
        <f>N42*VLOOKUP('Données projet'!$B$9,Paramètres!$A$1:$I$89,3,0)*VLOOKUP('Données projet'!$B$9,Paramètres!$A$1:$I$89,5,0)</f>
        <v>327.12680000000006</v>
      </c>
      <c r="P42" s="14">
        <f t="shared" si="33"/>
        <v>76.834316672603649</v>
      </c>
      <c r="Q42" s="22">
        <f t="shared" si="53"/>
        <v>703.56561153811811</v>
      </c>
      <c r="R42" s="62">
        <f t="shared" si="0"/>
        <v>996.89894487145148</v>
      </c>
      <c r="S42" s="62">
        <f ca="1">AVERAGE(OFFSET($R$3,0,0,'Données projet'!$E$9+1,1))-AVERAGE(OFFSET($H$3,0,0,'Données projet'!$E$9+1,1))</f>
        <v>446.5364328843699</v>
      </c>
      <c r="T42" s="62">
        <f t="shared" si="34"/>
        <v>559.96606361482179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4.5743652207967962</v>
      </c>
      <c r="AA42" s="23">
        <f>EXP(-LN(2)/25)*AA41+(1-EXP(-LN(2)/25))/(LN(2)/25)*Calculateur!V42*Calculateur!X42*VLOOKUP('Données projet'!$B$9,Paramètres!$A$1:$I$89,3,0)*0.475*44/12</f>
        <v>8.3921149119247787</v>
      </c>
      <c r="AB42" s="23">
        <f>EXP(-LN(2)/2)*AB41+(1-EXP(-LN(2)/2))/(LN(2)/2)*V42*Y42*VLOOKUP('Données projet'!$B$9,Paramètres!$A$1:$I$89,3,0)*0.475*44/12</f>
        <v>0.57858384225573078</v>
      </c>
      <c r="AC42" s="24">
        <f t="shared" si="3"/>
        <v>13.545063974977305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</v>
      </c>
      <c r="AI42" s="14">
        <f>IF('Données projet'!$A$62&gt;35,AI41+AH42-AQ41,IF(A42&lt;'Données projet'!$A$62,$AF$205^A42,IF(A42='Données projet'!$A$62,'Données projet'!$B$62,AI41+AH42-AQ41)))</f>
        <v>235.99999999999994</v>
      </c>
      <c r="AJ42" s="14">
        <f>AI42*VLOOKUP('Données projet'!$B$10,Paramètres!$A$1:$I$89,3,0)*VLOOKUP('Données projet'!$B$10,Paramètres!$A$1:$I$89,5,0)</f>
        <v>128.85599999999997</v>
      </c>
      <c r="AK42" s="14">
        <f t="shared" si="35"/>
        <v>33.731878688740906</v>
      </c>
      <c r="AL42" s="22">
        <f t="shared" si="4"/>
        <v>283.1738887162237</v>
      </c>
      <c r="AM42" s="62">
        <f t="shared" si="5"/>
        <v>576.50722204955696</v>
      </c>
      <c r="AN42" s="62">
        <f ca="1">AVERAGE(OFFSET($AM$3,0,0,'Données projet'!$E$10+1,1))-AVERAGE(OFFSET($H$3,0,0,'Données projet'!$E$10+1,1))</f>
        <v>164.0740581424559</v>
      </c>
      <c r="AO42" s="62">
        <f t="shared" si="36"/>
        <v>280.99861170359793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13.71546815915918</v>
      </c>
      <c r="AV42" s="23">
        <f>EXP(-LN(2)/25)*AV41+(1-EXP(-LN(2)/25))/(LN(2)/25)*Calculateur!AQ42*Calculateur!AS42*VLOOKUP('Données projet'!$B$10,Paramètres!$A$1:$I$89,3,0)*0.475*44/12</f>
        <v>29.623510101766005</v>
      </c>
      <c r="AW42" s="23">
        <f>EXP(-LN(2)/2)*AW41+(1-EXP(-LN(2)/2))/(LN(2)/2)*AQ42*AT42*VLOOKUP('Données projet'!$B$10,Paramètres!$A$1:$I$89,3,0)*0.475*44/12</f>
        <v>0.72199447853334564</v>
      </c>
      <c r="AX42" s="23">
        <f t="shared" si="6"/>
        <v>44.060972739458535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</v>
      </c>
      <c r="BD42" s="13">
        <f>IF('Données projet'!$A$88&gt;35,BD41+BC42-BL41,IF(A42&lt;'Données projet'!$A$88,$BA$205^A42,IF(A42='Données projet'!$A$88,'Données projet'!$B$88,BD41+BC42-BL41)))</f>
        <v>153.99999999999997</v>
      </c>
      <c r="BE42" s="14">
        <f>BD42*VLOOKUP('Données projet'!$B$11,Paramètres!$A$1:$I$89,3,0)*VLOOKUP('Données projet'!$B$11,Paramètres!$A$1:$I$89,5,0)</f>
        <v>72.071999999999989</v>
      </c>
      <c r="BF42" s="14">
        <f t="shared" si="37"/>
        <v>20.187131385147271</v>
      </c>
      <c r="BG42" s="22">
        <f t="shared" si="7"/>
        <v>160.68465382913146</v>
      </c>
      <c r="BH42" s="62">
        <f t="shared" si="8"/>
        <v>454.01798716246481</v>
      </c>
      <c r="BI42" s="62">
        <f ca="1">AVERAGE(OFFSET($BH$3,0,0,'Données projet'!$E$11+1,1))-AVERAGE(OFFSET($H$3,0,0,'Données projet'!$E$11+1,1))</f>
        <v>90.829393941874685</v>
      </c>
      <c r="BJ42" s="62">
        <f t="shared" si="38"/>
        <v>113.5315547498717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2.5165040156197462</v>
      </c>
      <c r="BQ42" s="23">
        <f>EXP(-LN(2)/25)*BQ41+(1-EXP(-LN(2)/25))/(LN(2)/25)*Calculateur!BL42*Calculateur!BN42*VLOOKUP('Données projet'!$B$11,Paramètres!$A$1:$I$89,3,0)*0.475*44/12</f>
        <v>4.4462596101420244</v>
      </c>
      <c r="BR42" s="23">
        <f>EXP(-LN(2)/2)*BR41+(1-EXP(-LN(2)/2))/(LN(2)/2)*BL42*BO42*VLOOKUP('Données projet'!$B$11,Paramètres!$A$1:$I$89,3,0)*0.475*44/12</f>
        <v>0.10228061125947084</v>
      </c>
      <c r="BS42" s="24">
        <f t="shared" si="9"/>
        <v>7.0650442370212412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13.2</v>
      </c>
      <c r="BY42" s="13">
        <f>IF('Données projet'!$A$114&gt;35,BY41+BX42-CG41,IF(A42&lt;'Données projet'!$A$114,$BV$205^A42,IF(A42='Données projet'!$A$114,'Données projet'!$B$114,BY41+BX42-CG41)))</f>
        <v>249.79999999999995</v>
      </c>
      <c r="BZ42" s="14">
        <f>BY42*VLOOKUP('Données projet'!$B$12,Paramètres!$A$1:$I$89,3,0)*VLOOKUP('Données projet'!$B$12,Paramètres!$A$1:$I$89,5,0)</f>
        <v>163.66895999999997</v>
      </c>
      <c r="CA42" s="14">
        <f t="shared" si="39"/>
        <v>41.668964460385851</v>
      </c>
      <c r="CB42" s="22">
        <f t="shared" si="10"/>
        <v>357.63021843517191</v>
      </c>
      <c r="CC42" s="62">
        <f t="shared" si="11"/>
        <v>650.96355176850523</v>
      </c>
      <c r="CD42" s="62">
        <f ca="1">AVERAGE(OFFSET($CC$3,0,0,'Données projet'!$E$12+1,1))-AVERAGE(OFFSET($H$3,0,0,'Données projet'!$E$12+1,1))</f>
        <v>211.95495599943246</v>
      </c>
      <c r="CE42" s="62">
        <f t="shared" si="40"/>
        <v>270.47407508916842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2.0858878710619404</v>
      </c>
      <c r="CL42" s="23">
        <f>EXP(-LN(2)/25)*CL41+(1-EXP(-LN(2)/25))/(LN(2)/25)*Calculateur!CG42*Calculateur!CI42*VLOOKUP('Données projet'!$B$12,Paramètres!$A$1:$I$89,3,0)*0.475*44/12</f>
        <v>13.34189483601965</v>
      </c>
      <c r="CM42" s="23">
        <f>EXP(-LN(2)/2)*CM41+(1-EXP(-LN(2)/2))/(LN(2)/2)*CG42*CJ42*VLOOKUP('Données projet'!$B$12,Paramètres!$A$1:$I$89,3,0)*0.475*44/12</f>
        <v>0.55805708068343873</v>
      </c>
      <c r="CN42" s="24">
        <f t="shared" si="12"/>
        <v>15.985839787765029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607</v>
      </c>
      <c r="L43" s="13">
        <f>VLOOKUP(A43,'Données projet'!$A$35:$I$55,9,0)</f>
        <v>21.8</v>
      </c>
      <c r="M43" s="13">
        <f t="array" ref="M43">INDEX(L:L,MIN(IF(ISNUMBER(L43:L239),ROW(L43:L239),"")))</f>
        <v>21.8</v>
      </c>
      <c r="N43" s="14">
        <f>IF('Données projet'!$A$36&gt;35,N42+M43-V42,IF(A43&lt;'Données projet'!$A$36,$K$205^A43,IF(A43='Données projet'!$A$36,'Données projet'!$B$36,N42+M43-V42)))</f>
        <v>607</v>
      </c>
      <c r="O43" s="14">
        <f>N43*VLOOKUP('Données projet'!$B$9,Paramètres!$A$1:$I$89,3,0)*VLOOKUP('Données projet'!$B$9,Paramètres!$A$1:$I$89,5,0)</f>
        <v>339.31299999999999</v>
      </c>
      <c r="P43" s="14">
        <f t="shared" si="33"/>
        <v>79.357991167872044</v>
      </c>
      <c r="Q43" s="22">
        <f t="shared" si="53"/>
        <v>729.18530961737713</v>
      </c>
      <c r="R43" s="62">
        <f t="shared" si="0"/>
        <v>1022.5186429507105</v>
      </c>
      <c r="S43" s="62">
        <f ca="1">AVERAGE(OFFSET($R$3,0,0,'Données projet'!$E$9+1,1))-AVERAGE(OFFSET($H$3,0,0,'Données projet'!$E$9+1,1))</f>
        <v>446.5364328843699</v>
      </c>
      <c r="T43" s="62">
        <f t="shared" si="34"/>
        <v>559.96606361482179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64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4.4846647089042575</v>
      </c>
      <c r="AA43" s="23">
        <f>EXP(-LN(2)/25)*AA42+(1-EXP(-LN(2)/25))/(LN(2)/25)*Calculateur!V43*Calculateur!X43*VLOOKUP('Données projet'!$B$9,Paramètres!$A$1:$I$89,3,0)*0.475*44/12</f>
        <v>8.1626320883360535</v>
      </c>
      <c r="AB43" s="23">
        <f>EXP(-LN(2)/2)*AB42+(1-EXP(-LN(2)/2))/(LN(2)/2)*V43*Y43*VLOOKUP('Données projet'!$B$9,Paramètres!$A$1:$I$89,3,0)*0.475*44/12</f>
        <v>0.40912055834399497</v>
      </c>
      <c r="AC43" s="24">
        <f t="shared" si="3"/>
        <v>13.056417355584307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14</v>
      </c>
      <c r="AI43" s="14">
        <f>IF('Données projet'!$A$62&gt;35,AI42+AH43-AQ42,IF(A43&lt;'Données projet'!$A$62,$AF$205^A43,IF(A43='Données projet'!$A$62,'Données projet'!$B$62,AI42+AH43-AQ42)))</f>
        <v>249.99999999999994</v>
      </c>
      <c r="AJ43" s="14">
        <f>AI43*VLOOKUP('Données projet'!$B$10,Paramètres!$A$1:$I$89,3,0)*VLOOKUP('Données projet'!$B$10,Paramètres!$A$1:$I$89,5,0)</f>
        <v>136.49999999999997</v>
      </c>
      <c r="AK43" s="14">
        <f t="shared" si="35"/>
        <v>35.494027024087352</v>
      </c>
      <c r="AL43" s="22">
        <f t="shared" si="4"/>
        <v>299.55626373361878</v>
      </c>
      <c r="AM43" s="62">
        <f t="shared" si="5"/>
        <v>592.88959706695209</v>
      </c>
      <c r="AN43" s="62">
        <f ca="1">AVERAGE(OFFSET($AM$3,0,0,'Données projet'!$E$10+1,1))-AVERAGE(OFFSET($H$3,0,0,'Données projet'!$E$10+1,1))</f>
        <v>164.0740581424559</v>
      </c>
      <c r="AO43" s="62">
        <f t="shared" si="36"/>
        <v>280.99861170359793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13.446516194167609</v>
      </c>
      <c r="AV43" s="23">
        <f>EXP(-LN(2)/25)*AV42+(1-EXP(-LN(2)/25))/(LN(2)/25)*Calculateur!AQ43*Calculateur!AS43*VLOOKUP('Données projet'!$B$10,Paramètres!$A$1:$I$89,3,0)*0.475*44/12</f>
        <v>28.813453660200523</v>
      </c>
      <c r="AW43" s="23">
        <f>EXP(-LN(2)/2)*AW42+(1-EXP(-LN(2)/2))/(LN(2)/2)*AQ43*AT43*VLOOKUP('Données projet'!$B$10,Paramètres!$A$1:$I$89,3,0)*0.475*44/12</f>
        <v>0.51052719175017391</v>
      </c>
      <c r="AX43" s="23">
        <f t="shared" si="6"/>
        <v>42.770497046118301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7</v>
      </c>
      <c r="BD43" s="13">
        <f>IF('Données projet'!$A$88&gt;35,BD42+BC43-BL42,IF(A43&lt;'Données projet'!$A$88,$BA$205^A43,IF(A43='Données projet'!$A$88,'Données projet'!$B$88,BD42+BC43-BL42)))</f>
        <v>160.99999999999997</v>
      </c>
      <c r="BE43" s="14">
        <f>BD43*VLOOKUP('Données projet'!$B$11,Paramètres!$A$1:$I$89,3,0)*VLOOKUP('Données projet'!$B$11,Paramètres!$A$1:$I$89,5,0)</f>
        <v>75.347999999999985</v>
      </c>
      <c r="BF43" s="14">
        <f t="shared" si="37"/>
        <v>20.99581051771704</v>
      </c>
      <c r="BG43" s="22">
        <f t="shared" si="7"/>
        <v>167.79880331835713</v>
      </c>
      <c r="BH43" s="62">
        <f t="shared" si="8"/>
        <v>461.13213665169042</v>
      </c>
      <c r="BI43" s="62">
        <f ca="1">AVERAGE(OFFSET($BH$3,0,0,'Données projet'!$E$11+1,1))-AVERAGE(OFFSET($H$3,0,0,'Données projet'!$E$11+1,1))</f>
        <v>90.829393941874685</v>
      </c>
      <c r="BJ43" s="62">
        <f t="shared" si="38"/>
        <v>113.5315547498717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2.4671569067893322</v>
      </c>
      <c r="BQ43" s="23">
        <f>EXP(-LN(2)/25)*BQ42+(1-EXP(-LN(2)/25))/(LN(2)/25)*Calculateur!BL43*Calculateur!BN43*VLOOKUP('Données projet'!$B$11,Paramètres!$A$1:$I$89,3,0)*0.475*44/12</f>
        <v>4.32467640728406</v>
      </c>
      <c r="BR43" s="23">
        <f>EXP(-LN(2)/2)*BR42+(1-EXP(-LN(2)/2))/(LN(2)/2)*BL43*BO43*VLOOKUP('Données projet'!$B$11,Paramètres!$A$1:$I$89,3,0)*0.475*44/12</f>
        <v>7.2323313805476977E-2</v>
      </c>
      <c r="BS43" s="24">
        <f t="shared" si="9"/>
        <v>6.8641566278788684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263</v>
      </c>
      <c r="BW43" s="13">
        <f>VLOOKUP(A43,'Données projet'!$A$113:$I$133,9,0)</f>
        <v>13.2</v>
      </c>
      <c r="BX43" s="13">
        <f t="array" ref="BX43">INDEX(BW:BW,MIN(IF(ISNUMBER(BW43:BW239),ROW(BW43:BW239),"")))</f>
        <v>13.2</v>
      </c>
      <c r="BY43" s="13">
        <f>IF('Données projet'!$A$114&gt;35,BY42+BX43-CG42,IF(A43&lt;'Données projet'!$A$114,$BV$205^A43,IF(A43='Données projet'!$A$114,'Données projet'!$B$114,BY42+BX43-CG42)))</f>
        <v>262.99999999999994</v>
      </c>
      <c r="BZ43" s="14">
        <f>BY43*VLOOKUP('Données projet'!$B$12,Paramètres!$A$1:$I$89,3,0)*VLOOKUP('Données projet'!$B$12,Paramètres!$A$1:$I$89,5,0)</f>
        <v>172.31759999999994</v>
      </c>
      <c r="CA43" s="14">
        <f t="shared" si="39"/>
        <v>43.608679117600254</v>
      </c>
      <c r="CB43" s="22">
        <f t="shared" si="10"/>
        <v>376.07160279648701</v>
      </c>
      <c r="CC43" s="62">
        <f t="shared" si="11"/>
        <v>669.40493612982027</v>
      </c>
      <c r="CD43" s="62">
        <f ca="1">AVERAGE(OFFSET($CC$3,0,0,'Données projet'!$E$12+1,1))-AVERAGE(OFFSET($H$3,0,0,'Données projet'!$E$12+1,1))</f>
        <v>211.95495599943246</v>
      </c>
      <c r="CE43" s="62">
        <f t="shared" si="40"/>
        <v>270.47407508916842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40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2.0449848821763914</v>
      </c>
      <c r="CL43" s="23">
        <f>EXP(-LN(2)/25)*CL42+(1-EXP(-LN(2)/25))/(LN(2)/25)*Calculateur!CG43*Calculateur!CI43*VLOOKUP('Données projet'!$B$12,Paramètres!$A$1:$I$89,3,0)*0.475*44/12</f>
        <v>12.977060020108937</v>
      </c>
      <c r="CM43" s="23">
        <f>EXP(-LN(2)/2)*CM42+(1-EXP(-LN(2)/2))/(LN(2)/2)*CG43*CJ43*VLOOKUP('Données projet'!$B$12,Paramètres!$A$1:$I$89,3,0)*0.475*44/12</f>
        <v>0.39460594604042781</v>
      </c>
      <c r="CN43" s="24">
        <f t="shared" si="12"/>
        <v>15.416650848325757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19.8</v>
      </c>
      <c r="N44" s="14">
        <f>IF('Données projet'!$A$36&gt;35,N43+M44-V43,IF(A44&lt;'Données projet'!$A$36,$K$205^A44,IF(A44='Données projet'!$A$36,'Données projet'!$B$36,N43+M44-V43)))</f>
        <v>562.79999999999995</v>
      </c>
      <c r="O44" s="14">
        <f>N44*VLOOKUP('Données projet'!$B$9,Paramètres!$A$1:$I$89,3,0)*VLOOKUP('Données projet'!$B$9,Paramètres!$A$1:$I$89,5,0)</f>
        <v>314.60520000000002</v>
      </c>
      <c r="P44" s="14">
        <f t="shared" si="33"/>
        <v>74.229752266996258</v>
      </c>
      <c r="Q44" s="22">
        <f t="shared" si="53"/>
        <v>677.22087519835191</v>
      </c>
      <c r="R44" s="62">
        <f t="shared" si="0"/>
        <v>970.55420853168516</v>
      </c>
      <c r="S44" s="62">
        <f ca="1">AVERAGE(OFFSET($R$3,0,0,'Données projet'!$E$9+1,1))-AVERAGE(OFFSET($H$3,0,0,'Données projet'!$E$9+1,1))</f>
        <v>446.5364328843699</v>
      </c>
      <c r="T44" s="62">
        <f t="shared" si="34"/>
        <v>559.96606361482179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4.3967231693380215</v>
      </c>
      <c r="AA44" s="23">
        <f>EXP(-LN(2)/25)*AA43+(1-EXP(-LN(2)/25))/(LN(2)/25)*Calculateur!V44*Calculateur!X44*VLOOKUP('Données projet'!$B$9,Paramètres!$A$1:$I$89,3,0)*0.475*44/12</f>
        <v>7.9394244846263389</v>
      </c>
      <c r="AB44" s="23">
        <f>EXP(-LN(2)/2)*AB43+(1-EXP(-LN(2)/2))/(LN(2)/2)*V44*Y44*VLOOKUP('Données projet'!$B$9,Paramètres!$A$1:$I$89,3,0)*0.475*44/12</f>
        <v>0.28929192112786539</v>
      </c>
      <c r="AC44" s="24">
        <f t="shared" si="3"/>
        <v>12.625439575092226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</v>
      </c>
      <c r="AI44" s="14">
        <f>IF('Données projet'!$A$62&gt;35,AI43+AH44-AQ43,IF(A44&lt;'Données projet'!$A$62,$AF$205^A44,IF(A44='Données projet'!$A$62,'Données projet'!$B$62,AI43+AH44-AQ43)))</f>
        <v>263.99999999999994</v>
      </c>
      <c r="AJ44" s="14">
        <f>AI44*VLOOKUP('Données projet'!$B$10,Paramètres!$A$1:$I$89,3,0)*VLOOKUP('Données projet'!$B$10,Paramètres!$A$1:$I$89,5,0)</f>
        <v>144.14399999999995</v>
      </c>
      <c r="AK44" s="14">
        <f t="shared" si="35"/>
        <v>37.244720006976216</v>
      </c>
      <c r="AL44" s="22">
        <f t="shared" si="4"/>
        <v>315.91868734548348</v>
      </c>
      <c r="AM44" s="62">
        <f t="shared" si="5"/>
        <v>609.25202067881673</v>
      </c>
      <c r="AN44" s="62">
        <f ca="1">AVERAGE(OFFSET($AM$3,0,0,'Données projet'!$E$10+1,1))-AVERAGE(OFFSET($H$3,0,0,'Données projet'!$E$10+1,1))</f>
        <v>164.0740581424559</v>
      </c>
      <c r="AO44" s="62">
        <f t="shared" si="36"/>
        <v>280.99861170359793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13.182838213165024</v>
      </c>
      <c r="AV44" s="23">
        <f>EXP(-LN(2)/25)*AV43+(1-EXP(-LN(2)/25))/(LN(2)/25)*Calculateur!AQ44*Calculateur!AS44*VLOOKUP('Données projet'!$B$10,Paramètres!$A$1:$I$89,3,0)*0.475*44/12</f>
        <v>28.025548254628667</v>
      </c>
      <c r="AW44" s="23">
        <f>EXP(-LN(2)/2)*AW43+(1-EXP(-LN(2)/2))/(LN(2)/2)*AQ44*AT44*VLOOKUP('Données projet'!$B$10,Paramètres!$A$1:$I$89,3,0)*0.475*44/12</f>
        <v>0.36099723926667282</v>
      </c>
      <c r="AX44" s="23">
        <f t="shared" si="6"/>
        <v>41.569383707060361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</v>
      </c>
      <c r="BD44" s="13">
        <f>IF('Données projet'!$A$88&gt;35,BD43+BC44-BL43,IF(A44&lt;'Données projet'!$A$88,$BA$205^A44,IF(A44='Données projet'!$A$88,'Données projet'!$B$88,BD43+BC44-BL43)))</f>
        <v>167.99999999999997</v>
      </c>
      <c r="BE44" s="14">
        <f>BD44*VLOOKUP('Données projet'!$B$11,Paramètres!$A$1:$I$89,3,0)*VLOOKUP('Données projet'!$B$11,Paramètres!$A$1:$I$89,5,0)</f>
        <v>78.623999999999995</v>
      </c>
      <c r="BF44" s="14">
        <f t="shared" si="37"/>
        <v>21.800406010684444</v>
      </c>
      <c r="BG44" s="22">
        <f t="shared" si="7"/>
        <v>174.90584046860872</v>
      </c>
      <c r="BH44" s="62">
        <f t="shared" si="8"/>
        <v>468.239173801942</v>
      </c>
      <c r="BI44" s="62">
        <f ca="1">AVERAGE(OFFSET($BH$3,0,0,'Données projet'!$E$11+1,1))-AVERAGE(OFFSET($H$3,0,0,'Données projet'!$E$11+1,1))</f>
        <v>90.829393941874685</v>
      </c>
      <c r="BJ44" s="62">
        <f t="shared" si="38"/>
        <v>113.5315547498717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2.4187774646643181</v>
      </c>
      <c r="BQ44" s="23">
        <f>EXP(-LN(2)/25)*BQ43+(1-EXP(-LN(2)/25))/(LN(2)/25)*Calculateur!BL44*Calculateur!BN44*VLOOKUP('Données projet'!$B$11,Paramètres!$A$1:$I$89,3,0)*0.475*44/12</f>
        <v>4.2064179035020297</v>
      </c>
      <c r="BR44" s="23">
        <f>EXP(-LN(2)/2)*BR43+(1-EXP(-LN(2)/2))/(LN(2)/2)*BL44*BO44*VLOOKUP('Données projet'!$B$11,Paramètres!$A$1:$I$89,3,0)*0.475*44/12</f>
        <v>5.1140305629735421E-2</v>
      </c>
      <c r="BS44" s="24">
        <f t="shared" si="9"/>
        <v>6.6763356737960828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234.39999999999992</v>
      </c>
      <c r="BZ44" s="14">
        <f>BY44*VLOOKUP('Données projet'!$B$12,Paramètres!$A$1:$I$89,3,0)*VLOOKUP('Données projet'!$B$12,Paramètres!$A$1:$I$89,5,0)</f>
        <v>153.57887999999994</v>
      </c>
      <c r="CA44" s="14">
        <f t="shared" si="39"/>
        <v>39.390779474606113</v>
      </c>
      <c r="CB44" s="22">
        <f t="shared" si="10"/>
        <v>336.08882358493884</v>
      </c>
      <c r="CC44" s="62">
        <f t="shared" si="11"/>
        <v>629.42215691827209</v>
      </c>
      <c r="CD44" s="62">
        <f ca="1">AVERAGE(OFFSET($CC$3,0,0,'Données projet'!$E$12+1,1))-AVERAGE(OFFSET($H$3,0,0,'Données projet'!$E$12+1,1))</f>
        <v>211.95495599943246</v>
      </c>
      <c r="CE44" s="62">
        <f t="shared" si="40"/>
        <v>270.47407508916842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2.0048839759545283</v>
      </c>
      <c r="CL44" s="23">
        <f>EXP(-LN(2)/25)*CL43+(1-EXP(-LN(2)/25))/(LN(2)/25)*Calculateur!CG44*Calculateur!CI44*VLOOKUP('Données projet'!$B$12,Paramètres!$A$1:$I$89,3,0)*0.475*44/12</f>
        <v>12.622201631425131</v>
      </c>
      <c r="CM44" s="23">
        <f>EXP(-LN(2)/2)*CM43+(1-EXP(-LN(2)/2))/(LN(2)/2)*CG44*CJ44*VLOOKUP('Données projet'!$B$12,Paramètres!$A$1:$I$89,3,0)*0.475*44/12</f>
        <v>0.27902854034171937</v>
      </c>
      <c r="CN44" s="24">
        <f t="shared" si="12"/>
        <v>14.906114147721379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19.8</v>
      </c>
      <c r="N45" s="14">
        <f>IF('Données projet'!$A$36&gt;35,N44+M45-V44,IF(A45&lt;'Données projet'!$A$36,$K$205^A45,IF(A45='Données projet'!$A$36,'Données projet'!$B$36,N44+M45-V44)))</f>
        <v>582.59999999999991</v>
      </c>
      <c r="O45" s="14">
        <f>N45*VLOOKUP('Données projet'!$B$9,Paramètres!$A$1:$I$89,3,0)*VLOOKUP('Données projet'!$B$9,Paramètres!$A$1:$I$89,5,0)</f>
        <v>325.67339999999996</v>
      </c>
      <c r="P45" s="14">
        <f t="shared" si="33"/>
        <v>76.53260477134495</v>
      </c>
      <c r="Q45" s="22">
        <f t="shared" si="53"/>
        <v>700.50879164342575</v>
      </c>
      <c r="R45" s="62">
        <f t="shared" si="0"/>
        <v>993.84212497675912</v>
      </c>
      <c r="S45" s="62">
        <f ca="1">AVERAGE(OFFSET($R$3,0,0,'Données projet'!$E$9+1,1))-AVERAGE(OFFSET($H$3,0,0,'Données projet'!$E$9+1,1))</f>
        <v>446.5364328843699</v>
      </c>
      <c r="T45" s="62">
        <f t="shared" si="34"/>
        <v>559.96606361482179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4.3105061097236366</v>
      </c>
      <c r="AA45" s="23">
        <f>EXP(-LN(2)/25)*AA44+(1-EXP(-LN(2)/25))/(LN(2)/25)*Calculateur!V45*Calculateur!X45*VLOOKUP('Données projet'!$B$9,Paramètres!$A$1:$I$89,3,0)*0.475*44/12</f>
        <v>7.7223205045780441</v>
      </c>
      <c r="AB45" s="23">
        <f>EXP(-LN(2)/2)*AB44+(1-EXP(-LN(2)/2))/(LN(2)/2)*V45*Y45*VLOOKUP('Données projet'!$B$9,Paramètres!$A$1:$I$89,3,0)*0.475*44/12</f>
        <v>0.20456027917199748</v>
      </c>
      <c r="AC45" s="24">
        <f t="shared" si="3"/>
        <v>12.237386893473678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278</v>
      </c>
      <c r="AG45" s="13">
        <f>VLOOKUP(A45,'Données projet'!$A$61:$I$81,9,0)</f>
        <v>14</v>
      </c>
      <c r="AH45" s="13">
        <f t="array" ref="AH45">INDEX(AG:AG,MIN(IF(ISNUMBER(AG45:AG241),ROW(AG45:AG241),"")))</f>
        <v>14</v>
      </c>
      <c r="AI45" s="14">
        <f>IF('Données projet'!$A$62&gt;35,AI44+AH45-AQ44,IF(A45&lt;'Données projet'!$A$62,$AF$205^A45,IF(A45='Données projet'!$A$62,'Données projet'!$B$62,AI44+AH45-AQ44)))</f>
        <v>277.99999999999994</v>
      </c>
      <c r="AJ45" s="14">
        <f>AI45*VLOOKUP('Données projet'!$B$10,Paramètres!$A$1:$I$89,3,0)*VLOOKUP('Données projet'!$B$10,Paramètres!$A$1:$I$89,5,0)</f>
        <v>151.78799999999998</v>
      </c>
      <c r="AK45" s="14">
        <f t="shared" si="35"/>
        <v>38.984634390835623</v>
      </c>
      <c r="AL45" s="22">
        <f t="shared" si="4"/>
        <v>332.26233823070532</v>
      </c>
      <c r="AM45" s="62">
        <f t="shared" si="5"/>
        <v>625.59567156403864</v>
      </c>
      <c r="AN45" s="62">
        <f ca="1">AVERAGE(OFFSET($AM$3,0,0,'Données projet'!$E$10+1,1))-AVERAGE(OFFSET($H$3,0,0,'Données projet'!$E$10+1,1))</f>
        <v>164.0740581424559</v>
      </c>
      <c r="AO45" s="62">
        <f t="shared" si="36"/>
        <v>280.99861170359793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278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12.924330796542211</v>
      </c>
      <c r="AV45" s="23">
        <f>EXP(-LN(2)/25)*AV44+(1-EXP(-LN(2)/25))/(LN(2)/25)*Calculateur!AQ45*Calculateur!AS45*VLOOKUP('Données projet'!$B$10,Paramètres!$A$1:$I$89,3,0)*0.475*44/12</f>
        <v>27.259188163806318</v>
      </c>
      <c r="AW45" s="23">
        <f>EXP(-LN(2)/2)*AW44+(1-EXP(-LN(2)/2))/(LN(2)/2)*AQ45*AT45*VLOOKUP('Données projet'!$B$10,Paramètres!$A$1:$I$89,3,0)*0.475*44/12</f>
        <v>0.25526359587508696</v>
      </c>
      <c r="AX45" s="23">
        <f t="shared" si="6"/>
        <v>40.438782556223615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</v>
      </c>
      <c r="BD45" s="13">
        <f>IF('Données projet'!$A$88&gt;35,BD44+BC45-BL44,IF(A45&lt;'Données projet'!$A$88,$BA$205^A45,IF(A45='Données projet'!$A$88,'Données projet'!$B$88,BD44+BC45-BL44)))</f>
        <v>174.99999999999997</v>
      </c>
      <c r="BE45" s="14">
        <f>BD45*VLOOKUP('Données projet'!$B$11,Paramètres!$A$1:$I$89,3,0)*VLOOKUP('Données projet'!$B$11,Paramètres!$A$1:$I$89,5,0)</f>
        <v>81.899999999999977</v>
      </c>
      <c r="BF45" s="14">
        <f t="shared" si="37"/>
        <v>22.601107473346342</v>
      </c>
      <c r="BG45" s="22">
        <f t="shared" si="7"/>
        <v>182.00609551607818</v>
      </c>
      <c r="BH45" s="62">
        <f t="shared" si="8"/>
        <v>475.33942884941149</v>
      </c>
      <c r="BI45" s="62">
        <f ca="1">AVERAGE(OFFSET($BH$3,0,0,'Données projet'!$E$11+1,1))-AVERAGE(OFFSET($H$3,0,0,'Données projet'!$E$11+1,1))</f>
        <v>90.829393941874685</v>
      </c>
      <c r="BJ45" s="62">
        <f t="shared" si="38"/>
        <v>113.5315547498717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2.3713467138908295</v>
      </c>
      <c r="BQ45" s="23">
        <f>EXP(-LN(2)/25)*BQ44+(1-EXP(-LN(2)/25))/(LN(2)/25)*Calculateur!BL45*Calculateur!BN45*VLOOKUP('Données projet'!$B$11,Paramètres!$A$1:$I$89,3,0)*0.475*44/12</f>
        <v>4.091393184724863</v>
      </c>
      <c r="BR45" s="23">
        <f>EXP(-LN(2)/2)*BR44+(1-EXP(-LN(2)/2))/(LN(2)/2)*BL45*BO45*VLOOKUP('Données projet'!$B$11,Paramètres!$A$1:$I$89,3,0)*0.475*44/12</f>
        <v>3.6161656902738488E-2</v>
      </c>
      <c r="BS45" s="24">
        <f t="shared" si="9"/>
        <v>6.4989015555184313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245.79999999999993</v>
      </c>
      <c r="BZ45" s="14">
        <f>BY45*VLOOKUP('Données projet'!$B$12,Paramètres!$A$1:$I$89,3,0)*VLOOKUP('Données projet'!$B$12,Paramètres!$A$1:$I$89,5,0)</f>
        <v>161.04815999999994</v>
      </c>
      <c r="CA45" s="14">
        <f t="shared" si="39"/>
        <v>41.078840901763805</v>
      </c>
      <c r="CB45" s="22">
        <f t="shared" si="10"/>
        <v>352.0378599039052</v>
      </c>
      <c r="CC45" s="62">
        <f t="shared" si="11"/>
        <v>645.37119323723846</v>
      </c>
      <c r="CD45" s="62">
        <f ca="1">AVERAGE(OFFSET($CC$3,0,0,'Données projet'!$E$12+1,1))-AVERAGE(OFFSET($H$3,0,0,'Données projet'!$E$12+1,1))</f>
        <v>211.95495599943246</v>
      </c>
      <c r="CE45" s="62">
        <f t="shared" si="40"/>
        <v>270.47407508916842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1.965569424044538</v>
      </c>
      <c r="CL45" s="23">
        <f>EXP(-LN(2)/25)*CL44+(1-EXP(-LN(2)/25))/(LN(2)/25)*Calculateur!CG45*Calculateur!CI45*VLOOKUP('Données projet'!$B$12,Paramètres!$A$1:$I$89,3,0)*0.475*44/12</f>
        <v>12.277046864041075</v>
      </c>
      <c r="CM45" s="23">
        <f>EXP(-LN(2)/2)*CM44+(1-EXP(-LN(2)/2))/(LN(2)/2)*CG45*CJ45*VLOOKUP('Données projet'!$B$12,Paramètres!$A$1:$I$89,3,0)*0.475*44/12</f>
        <v>0.19730297302021391</v>
      </c>
      <c r="CN45" s="24">
        <f t="shared" si="12"/>
        <v>14.439919261105828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19.8</v>
      </c>
      <c r="N46" s="14">
        <f>IF('Données projet'!$A$36&gt;35,N45+M46-V45,IF(A46&lt;'Données projet'!$A$36,$K$205^A46,IF(A46='Données projet'!$A$36,'Données projet'!$B$36,N45+M46-V45)))</f>
        <v>602.39999999999986</v>
      </c>
      <c r="O46" s="14">
        <f>N46*VLOOKUP('Données projet'!$B$9,Paramètres!$A$1:$I$89,3,0)*VLOOKUP('Données projet'!$B$9,Paramètres!$A$1:$I$89,5,0)</f>
        <v>336.74159999999989</v>
      </c>
      <c r="P46" s="14">
        <f t="shared" si="33"/>
        <v>78.826363517408936</v>
      </c>
      <c r="Q46" s="22">
        <f t="shared" si="53"/>
        <v>723.78086979282034</v>
      </c>
      <c r="R46" s="62">
        <f t="shared" si="0"/>
        <v>1017.1142031261536</v>
      </c>
      <c r="S46" s="62">
        <f ca="1">AVERAGE(OFFSET($R$3,0,0,'Données projet'!$E$9+1,1))-AVERAGE(OFFSET($H$3,0,0,'Données projet'!$E$9+1,1))</f>
        <v>446.5364328843699</v>
      </c>
      <c r="T46" s="62">
        <f t="shared" si="34"/>
        <v>559.96606361482179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4.2259797140610758</v>
      </c>
      <c r="AA46" s="23">
        <f>EXP(-LN(2)/25)*AA45+(1-EXP(-LN(2)/25))/(LN(2)/25)*Calculateur!V46*Calculateur!X46*VLOOKUP('Données projet'!$B$9,Paramètres!$A$1:$I$89,3,0)*0.475*44/12</f>
        <v>7.5111532442811715</v>
      </c>
      <c r="AB46" s="23">
        <f>EXP(-LN(2)/2)*AB45+(1-EXP(-LN(2)/2))/(LN(2)/2)*V46*Y46*VLOOKUP('Données projet'!$B$9,Paramètres!$A$1:$I$89,3,0)*0.475*44/12</f>
        <v>0.1446459605639327</v>
      </c>
      <c r="AC46" s="24">
        <f t="shared" si="3"/>
        <v>11.88177891890618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-5.6843418860808015E-14</v>
      </c>
      <c r="AJ46" s="14">
        <f>AI46*VLOOKUP('Données projet'!$B$10,Paramètres!$A$1:$I$89,3,0)*VLOOKUP('Données projet'!$B$10,Paramètres!$A$1:$I$89,5,0)</f>
        <v>-3.1036506698001178E-14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164.0740581424559</v>
      </c>
      <c r="AO46" s="62">
        <f t="shared" si="36"/>
        <v>280.99861170359793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12.670892552685416</v>
      </c>
      <c r="AV46" s="23">
        <f>EXP(-LN(2)/25)*AV45+(1-EXP(-LN(2)/25))/(LN(2)/25)*Calculateur!AQ46*Calculateur!AS46*VLOOKUP('Données projet'!$B$10,Paramètres!$A$1:$I$89,3,0)*0.475*44/12</f>
        <v>26.513784229968632</v>
      </c>
      <c r="AW46" s="23">
        <f>EXP(-LN(2)/2)*AW45+(1-EXP(-LN(2)/2))/(LN(2)/2)*AQ46*AT46*VLOOKUP('Données projet'!$B$10,Paramètres!$A$1:$I$89,3,0)*0.475*44/12</f>
        <v>0.18049861963333641</v>
      </c>
      <c r="AX46" s="23">
        <f t="shared" si="6"/>
        <v>39.365175402287385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</v>
      </c>
      <c r="BD46" s="13">
        <f>IF('Données projet'!$A$88&gt;35,BD45+BC46-BL45,IF(A46&lt;'Données projet'!$A$88,$BA$205^A46,IF(A46='Données projet'!$A$88,'Données projet'!$B$88,BD45+BC46-BL45)))</f>
        <v>181.99999999999997</v>
      </c>
      <c r="BE46" s="14">
        <f>BD46*VLOOKUP('Données projet'!$B$11,Paramètres!$A$1:$I$89,3,0)*VLOOKUP('Données projet'!$B$11,Paramètres!$A$1:$I$89,5,0)</f>
        <v>85.175999999999974</v>
      </c>
      <c r="BF46" s="14">
        <f t="shared" si="37"/>
        <v>23.398088487656434</v>
      </c>
      <c r="BG46" s="22">
        <f t="shared" si="7"/>
        <v>189.09987078266826</v>
      </c>
      <c r="BH46" s="62">
        <f t="shared" si="8"/>
        <v>482.43320411600155</v>
      </c>
      <c r="BI46" s="62">
        <f ca="1">AVERAGE(OFFSET($BH$3,0,0,'Données projet'!$E$11+1,1))-AVERAGE(OFFSET($H$3,0,0,'Données projet'!$E$11+1,1))</f>
        <v>90.829393941874685</v>
      </c>
      <c r="BJ46" s="62">
        <f t="shared" si="38"/>
        <v>113.5315547498717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2.3248460512101077</v>
      </c>
      <c r="BQ46" s="23">
        <f>EXP(-LN(2)/25)*BQ45+(1-EXP(-LN(2)/25))/(LN(2)/25)*Calculateur!BL46*Calculateur!BN46*VLOOKUP('Données projet'!$B$11,Paramètres!$A$1:$I$89,3,0)*0.475*44/12</f>
        <v>3.979513822931545</v>
      </c>
      <c r="BR46" s="23">
        <f>EXP(-LN(2)/2)*BR45+(1-EXP(-LN(2)/2))/(LN(2)/2)*BL46*BO46*VLOOKUP('Données projet'!$B$11,Paramètres!$A$1:$I$89,3,0)*0.475*44/12</f>
        <v>2.557015281486771E-2</v>
      </c>
      <c r="BS46" s="24">
        <f t="shared" si="9"/>
        <v>6.3299300269565206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257.19999999999993</v>
      </c>
      <c r="BZ46" s="14">
        <f>BY46*VLOOKUP('Données projet'!$B$12,Paramètres!$A$1:$I$89,3,0)*VLOOKUP('Données projet'!$B$12,Paramètres!$A$1:$I$89,5,0)</f>
        <v>168.51743999999997</v>
      </c>
      <c r="CA46" s="14">
        <f t="shared" si="39"/>
        <v>42.757810382238787</v>
      </c>
      <c r="CB46" s="22">
        <f t="shared" si="10"/>
        <v>367.97106108239922</v>
      </c>
      <c r="CC46" s="62">
        <f t="shared" si="11"/>
        <v>661.30439441573253</v>
      </c>
      <c r="CD46" s="62">
        <f ca="1">AVERAGE(OFFSET($CC$3,0,0,'Données projet'!$E$12+1,1))-AVERAGE(OFFSET($H$3,0,0,'Données projet'!$E$12+1,1))</f>
        <v>211.95495599943246</v>
      </c>
      <c r="CE46" s="62">
        <f t="shared" si="40"/>
        <v>270.47407508916842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1.9270258065179939</v>
      </c>
      <c r="CL46" s="23">
        <f>EXP(-LN(2)/25)*CL45+(1-EXP(-LN(2)/25))/(LN(2)/25)*Calculateur!CG46*Calculateur!CI46*VLOOKUP('Données projet'!$B$12,Paramètres!$A$1:$I$89,3,0)*0.475*44/12</f>
        <v>11.941330371922037</v>
      </c>
      <c r="CM46" s="23">
        <f>EXP(-LN(2)/2)*CM45+(1-EXP(-LN(2)/2))/(LN(2)/2)*CG46*CJ46*VLOOKUP('Données projet'!$B$12,Paramètres!$A$1:$I$89,3,0)*0.475*44/12</f>
        <v>0.13951427017085968</v>
      </c>
      <c r="CN46" s="24">
        <f t="shared" si="12"/>
        <v>14.007870448610891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19.8</v>
      </c>
      <c r="N47" s="14">
        <f>IF('Données projet'!$A$36&gt;35,N46+M47-V46,IF(A47&lt;'Données projet'!$A$36,$K$205^A47,IF(A47='Données projet'!$A$36,'Données projet'!$B$36,N46+M47-V46)))</f>
        <v>622.19999999999982</v>
      </c>
      <c r="O47" s="14">
        <f>N47*VLOOKUP('Données projet'!$B$9,Paramètres!$A$1:$I$89,3,0)*VLOOKUP('Données projet'!$B$9,Paramètres!$A$1:$I$89,5,0)</f>
        <v>347.80979999999994</v>
      </c>
      <c r="P47" s="14">
        <f t="shared" si="33"/>
        <v>81.111361679698661</v>
      </c>
      <c r="Q47" s="22">
        <f t="shared" si="53"/>
        <v>747.03768992547487</v>
      </c>
      <c r="R47" s="62">
        <f t="shared" si="0"/>
        <v>1040.3710232588082</v>
      </c>
      <c r="S47" s="62">
        <f ca="1">AVERAGE(OFFSET($R$3,0,0,'Données projet'!$E$9+1,1))-AVERAGE(OFFSET($H$3,0,0,'Données projet'!$E$9+1,1))</f>
        <v>446.5364328843699</v>
      </c>
      <c r="T47" s="62">
        <f t="shared" si="34"/>
        <v>559.96606361482179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4.1431108294614472</v>
      </c>
      <c r="AA47" s="23">
        <f>EXP(-LN(2)/25)*AA46+(1-EXP(-LN(2)/25))/(LN(2)/25)*Calculateur!V47*Calculateur!X47*VLOOKUP('Données projet'!$B$9,Paramètres!$A$1:$I$89,3,0)*0.475*44/12</f>
        <v>7.3057603638219204</v>
      </c>
      <c r="AB47" s="23">
        <f>EXP(-LN(2)/2)*AB46+(1-EXP(-LN(2)/2))/(LN(2)/2)*V47*Y47*VLOOKUP('Données projet'!$B$9,Paramètres!$A$1:$I$89,3,0)*0.475*44/12</f>
        <v>0.10228013958599874</v>
      </c>
      <c r="AC47" s="24">
        <f t="shared" si="3"/>
        <v>11.551151332869365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-5.6843418860808015E-14</v>
      </c>
      <c r="AJ47" s="14">
        <f>AI47*VLOOKUP('Données projet'!$B$10,Paramètres!$A$1:$I$89,3,0)*VLOOKUP('Données projet'!$B$10,Paramètres!$A$1:$I$89,5,0)</f>
        <v>-3.1036506698001178E-14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164.0740581424559</v>
      </c>
      <c r="AO47" s="62">
        <f t="shared" si="36"/>
        <v>280.99861170359793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12.422424078208588</v>
      </c>
      <c r="AV47" s="23">
        <f>EXP(-LN(2)/25)*AV46+(1-EXP(-LN(2)/25))/(LN(2)/25)*Calculateur!AQ47*Calculateur!AS47*VLOOKUP('Données projet'!$B$10,Paramètres!$A$1:$I$89,3,0)*0.475*44/12</f>
        <v>25.788763405900823</v>
      </c>
      <c r="AW47" s="23">
        <f>EXP(-LN(2)/2)*AW46+(1-EXP(-LN(2)/2))/(LN(2)/2)*AQ47*AT47*VLOOKUP('Données projet'!$B$10,Paramètres!$A$1:$I$89,3,0)*0.475*44/12</f>
        <v>0.12763179793754348</v>
      </c>
      <c r="AX47" s="23">
        <f t="shared" si="6"/>
        <v>38.338819282046956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</v>
      </c>
      <c r="BD47" s="13">
        <f>IF('Données projet'!$A$88&gt;35,BD46+BC47-BL46,IF(A47&lt;'Données projet'!$A$88,$BA$205^A47,IF(A47='Données projet'!$A$88,'Données projet'!$B$88,BD46+BC47-BL46)))</f>
        <v>188.99999999999997</v>
      </c>
      <c r="BE47" s="14">
        <f>BD47*VLOOKUP('Données projet'!$B$11,Paramètres!$A$1:$I$89,3,0)*VLOOKUP('Données projet'!$B$11,Paramètres!$A$1:$I$89,5,0)</f>
        <v>88.451999999999998</v>
      </c>
      <c r="BF47" s="14">
        <f t="shared" si="37"/>
        <v>24.191508526943956</v>
      </c>
      <c r="BG47" s="22">
        <f t="shared" si="7"/>
        <v>196.18744401776067</v>
      </c>
      <c r="BH47" s="62">
        <f t="shared" si="8"/>
        <v>489.52077735109401</v>
      </c>
      <c r="BI47" s="62">
        <f ca="1">AVERAGE(OFFSET($BH$3,0,0,'Données projet'!$E$11+1,1))-AVERAGE(OFFSET($H$3,0,0,'Données projet'!$E$11+1,1))</f>
        <v>90.829393941874685</v>
      </c>
      <c r="BJ47" s="62">
        <f t="shared" si="38"/>
        <v>113.5315547498717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2.2792572381619514</v>
      </c>
      <c r="BQ47" s="23">
        <f>EXP(-LN(2)/25)*BQ46+(1-EXP(-LN(2)/25))/(LN(2)/25)*Calculateur!BL47*Calculateur!BN47*VLOOKUP('Données projet'!$B$11,Paramètres!$A$1:$I$89,3,0)*0.475*44/12</f>
        <v>3.8706938081699453</v>
      </c>
      <c r="BR47" s="23">
        <f>EXP(-LN(2)/2)*BR46+(1-EXP(-LN(2)/2))/(LN(2)/2)*BL47*BO47*VLOOKUP('Données projet'!$B$11,Paramètres!$A$1:$I$89,3,0)*0.475*44/12</f>
        <v>1.8080828451369244E-2</v>
      </c>
      <c r="BS47" s="24">
        <f t="shared" si="9"/>
        <v>6.1680318747832654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268.59999999999991</v>
      </c>
      <c r="BZ47" s="14">
        <f>BY47*VLOOKUP('Données projet'!$B$12,Paramètres!$A$1:$I$89,3,0)*VLOOKUP('Données projet'!$B$12,Paramètres!$A$1:$I$89,5,0)</f>
        <v>175.98671999999993</v>
      </c>
      <c r="CA47" s="14">
        <f t="shared" si="39"/>
        <v>44.42813695214268</v>
      </c>
      <c r="CB47" s="22">
        <f t="shared" si="10"/>
        <v>383.88920919164838</v>
      </c>
      <c r="CC47" s="62">
        <f t="shared" si="11"/>
        <v>677.22254252498169</v>
      </c>
      <c r="CD47" s="62">
        <f ca="1">AVERAGE(OFFSET($CC$3,0,0,'Données projet'!$E$12+1,1))-AVERAGE(OFFSET($H$3,0,0,'Données projet'!$E$12+1,1))</f>
        <v>211.95495599943246</v>
      </c>
      <c r="CE47" s="62">
        <f t="shared" si="40"/>
        <v>270.47407508916842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1.8892380058218599</v>
      </c>
      <c r="CL47" s="23">
        <f>EXP(-LN(2)/25)*CL46+(1-EXP(-LN(2)/25))/(LN(2)/25)*Calculateur!CG47*Calculateur!CI47*VLOOKUP('Données projet'!$B$12,Paramètres!$A$1:$I$89,3,0)*0.475*44/12</f>
        <v>11.614794064934557</v>
      </c>
      <c r="CM47" s="23">
        <f>EXP(-LN(2)/2)*CM46+(1-EXP(-LN(2)/2))/(LN(2)/2)*CG47*CJ47*VLOOKUP('Données projet'!$B$12,Paramètres!$A$1:$I$89,3,0)*0.475*44/12</f>
        <v>9.8651486510106953E-2</v>
      </c>
      <c r="CN47" s="24">
        <f t="shared" si="12"/>
        <v>13.602683557266523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642</v>
      </c>
      <c r="L48" s="13">
        <f>VLOOKUP(A48,'Données projet'!$A$35:$I$55,9,0)</f>
        <v>19.8</v>
      </c>
      <c r="M48" s="13">
        <f t="array" ref="M48">INDEX(L:L,MIN(IF(ISNUMBER(L48:L244),ROW(L48:L244),"")))</f>
        <v>19.8</v>
      </c>
      <c r="N48" s="14">
        <f>IF('Données projet'!$A$36&gt;35,N47+M48-V47,IF(A48&lt;'Données projet'!$A$36,$K$205^A48,IF(A48='Données projet'!$A$36,'Données projet'!$B$36,N47+M48-V47)))</f>
        <v>641.99999999999977</v>
      </c>
      <c r="O48" s="14">
        <f>N48*VLOOKUP('Données projet'!$B$9,Paramètres!$A$1:$I$89,3,0)*VLOOKUP('Données projet'!$B$9,Paramètres!$A$1:$I$89,5,0)</f>
        <v>358.87799999999987</v>
      </c>
      <c r="P48" s="14">
        <f t="shared" si="33"/>
        <v>83.3879100236867</v>
      </c>
      <c r="Q48" s="22">
        <f t="shared" si="53"/>
        <v>770.27979329125412</v>
      </c>
      <c r="R48" s="62">
        <f t="shared" si="0"/>
        <v>1063.6131266245875</v>
      </c>
      <c r="S48" s="62">
        <f ca="1">AVERAGE(OFFSET($R$3,0,0,'Données projet'!$E$9+1,1))-AVERAGE(OFFSET($H$3,0,0,'Données projet'!$E$9+1,1))</f>
        <v>446.5364328843699</v>
      </c>
      <c r="T48" s="62">
        <f t="shared" si="34"/>
        <v>559.96606361482179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70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4.061866953143789</v>
      </c>
      <c r="AA48" s="23">
        <f>EXP(-LN(2)/25)*AA47+(1-EXP(-LN(2)/25))/(LN(2)/25)*Calculateur!V48*Calculateur!X48*VLOOKUP('Données projet'!$B$9,Paramètres!$A$1:$I$89,3,0)*0.475*44/12</f>
        <v>7.1059839624799697</v>
      </c>
      <c r="AB48" s="23">
        <f>EXP(-LN(2)/2)*AB47+(1-EXP(-LN(2)/2))/(LN(2)/2)*V48*Y48*VLOOKUP('Données projet'!$B$9,Paramètres!$A$1:$I$89,3,0)*0.475*44/12</f>
        <v>7.2322980281966348E-2</v>
      </c>
      <c r="AC48" s="24">
        <f t="shared" si="3"/>
        <v>11.240173895905725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-5.6843418860808015E-14</v>
      </c>
      <c r="AJ48" s="14">
        <f>AI48*VLOOKUP('Données projet'!$B$10,Paramètres!$A$1:$I$89,3,0)*VLOOKUP('Données projet'!$B$10,Paramètres!$A$1:$I$89,5,0)</f>
        <v>-3.1036506698001178E-14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164.0740581424559</v>
      </c>
      <c r="AO48" s="62">
        <f t="shared" si="36"/>
        <v>280.99861170359793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12.178827918965444</v>
      </c>
      <c r="AV48" s="23">
        <f>EXP(-LN(2)/25)*AV47+(1-EXP(-LN(2)/25))/(LN(2)/25)*Calculateur!AQ48*Calculateur!AS48*VLOOKUP('Données projet'!$B$10,Paramètres!$A$1:$I$89,3,0)*0.475*44/12</f>
        <v>25.083568314394338</v>
      </c>
      <c r="AW48" s="23">
        <f>EXP(-LN(2)/2)*AW47+(1-EXP(-LN(2)/2))/(LN(2)/2)*AQ48*AT48*VLOOKUP('Données projet'!$B$10,Paramètres!$A$1:$I$89,3,0)*0.475*44/12</f>
        <v>9.0249309816668205E-2</v>
      </c>
      <c r="AX48" s="23">
        <f t="shared" si="6"/>
        <v>37.35264554317645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196</v>
      </c>
      <c r="BB48" s="13">
        <f>VLOOKUP(A48,'Données projet'!$A$87:$I$107,9,0)</f>
        <v>7</v>
      </c>
      <c r="BC48" s="13">
        <f t="array" ref="BC48">INDEX(BB:BB,MIN(IF(ISNUMBER(BB48:BB244),ROW(BB48:BB244),"")))</f>
        <v>7</v>
      </c>
      <c r="BD48" s="13">
        <f>IF('Données projet'!$A$88&gt;35,BD47+BC48-BL47,IF(A48&lt;'Données projet'!$A$88,$BA$205^A48,IF(A48='Données projet'!$A$88,'Données projet'!$B$88,BD47+BC48-BL47)))</f>
        <v>195.99999999999997</v>
      </c>
      <c r="BE48" s="14">
        <f>BD48*VLOOKUP('Données projet'!$B$11,Paramètres!$A$1:$I$89,3,0)*VLOOKUP('Données projet'!$B$11,Paramètres!$A$1:$I$89,5,0)</f>
        <v>91.727999999999994</v>
      </c>
      <c r="BF48" s="14">
        <f t="shared" si="37"/>
        <v>24.981514582386563</v>
      </c>
      <c r="BG48" s="22">
        <f t="shared" si="7"/>
        <v>203.26907123098991</v>
      </c>
      <c r="BH48" s="62">
        <f t="shared" si="8"/>
        <v>496.60240456432325</v>
      </c>
      <c r="BI48" s="62">
        <f ca="1">AVERAGE(OFFSET($BH$3,0,0,'Données projet'!$E$11+1,1))-AVERAGE(OFFSET($H$3,0,0,'Données projet'!$E$11+1,1))</f>
        <v>90.829393941874685</v>
      </c>
      <c r="BJ48" s="62">
        <f t="shared" si="38"/>
        <v>113.5315547498717</v>
      </c>
      <c r="BK48" s="16">
        <f>IF(ISNA(VLOOKUP(A48,'Données projet'!$A$87:$I$107,3,0)),0,VLOOKUP(A48,'Données projet'!$A$87:$I$107,3,0))</f>
        <v>4</v>
      </c>
      <c r="BL48" s="16">
        <f>IF(ISNA(VLOOKUP(A48,'Données projet'!$A$87:$I$107,4,0)),0,VLOOKUP(A48,'Données projet'!$A$87:$I$107,4,0))</f>
        <v>40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2.2345623939312391</v>
      </c>
      <c r="BQ48" s="23">
        <f>EXP(-LN(2)/25)*BQ47+(1-EXP(-LN(2)/25))/(LN(2)/25)*Calculateur!BL48*Calculateur!BN48*VLOOKUP('Données projet'!$B$11,Paramètres!$A$1:$I$89,3,0)*0.475*44/12</f>
        <v>3.7648494824345975</v>
      </c>
      <c r="BR48" s="23">
        <f>EXP(-LN(2)/2)*BR47+(1-EXP(-LN(2)/2))/(LN(2)/2)*BL48*BO48*VLOOKUP('Données projet'!$B$11,Paramètres!$A$1:$I$89,3,0)*0.475*44/12</f>
        <v>1.2785076407433855E-2</v>
      </c>
      <c r="BS48" s="24">
        <f t="shared" si="9"/>
        <v>6.0121969527732713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280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279.99999999999989</v>
      </c>
      <c r="BZ48" s="14">
        <f>BY48*VLOOKUP('Données projet'!$B$12,Paramètres!$A$1:$I$89,3,0)*VLOOKUP('Données projet'!$B$12,Paramètres!$A$1:$I$89,5,0)</f>
        <v>183.45599999999993</v>
      </c>
      <c r="CA48" s="14">
        <f t="shared" si="39"/>
        <v>46.090229375321108</v>
      </c>
      <c r="CB48" s="22">
        <f t="shared" si="10"/>
        <v>399.79301616201747</v>
      </c>
      <c r="CC48" s="62">
        <f t="shared" si="11"/>
        <v>693.12634949535072</v>
      </c>
      <c r="CD48" s="62">
        <f ca="1">AVERAGE(OFFSET($CC$3,0,0,'Données projet'!$E$12+1,1))-AVERAGE(OFFSET($H$3,0,0,'Données projet'!$E$12+1,1))</f>
        <v>211.95495599943246</v>
      </c>
      <c r="CE48" s="62">
        <f t="shared" si="40"/>
        <v>270.47407508916842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26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1.8521912008490944</v>
      </c>
      <c r="CL48" s="23">
        <f>EXP(-LN(2)/25)*CL47+(1-EXP(-LN(2)/25))/(LN(2)/25)*Calculateur!CG48*Calculateur!CI48*VLOOKUP('Données projet'!$B$12,Paramètres!$A$1:$I$89,3,0)*0.475*44/12</f>
        <v>11.297186910433448</v>
      </c>
      <c r="CM48" s="23">
        <f>EXP(-LN(2)/2)*CM47+(1-EXP(-LN(2)/2))/(LN(2)/2)*CG48*CJ48*VLOOKUP('Données projet'!$B$12,Paramètres!$A$1:$I$89,3,0)*0.475*44/12</f>
        <v>6.9757135085429842E-2</v>
      </c>
      <c r="CN48" s="24">
        <f t="shared" si="12"/>
        <v>13.219135246367973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18.2</v>
      </c>
      <c r="N49" s="14">
        <f>IF('Données projet'!$A$36&gt;35,N48+M49-V48,IF(A49&lt;'Données projet'!$A$36,$K$205^A49,IF(A49='Données projet'!$A$36,'Données projet'!$B$36,N48+M49-V48)))</f>
        <v>590.19999999999982</v>
      </c>
      <c r="O49" s="14">
        <f>N49*VLOOKUP('Données projet'!$B$9,Paramètres!$A$1:$I$89,3,0)*VLOOKUP('Données projet'!$B$9,Paramètres!$A$1:$I$89,5,0)</f>
        <v>329.92179999999991</v>
      </c>
      <c r="P49" s="14">
        <f t="shared" si="33"/>
        <v>77.414094093053606</v>
      </c>
      <c r="Q49" s="22">
        <f t="shared" si="53"/>
        <v>709.44334887873481</v>
      </c>
      <c r="R49" s="62">
        <f t="shared" si="0"/>
        <v>1002.7766822120682</v>
      </c>
      <c r="S49" s="62">
        <f ca="1">AVERAGE(OFFSET($R$3,0,0,'Données projet'!$E$9+1,1))-AVERAGE(OFFSET($H$3,0,0,'Données projet'!$E$9+1,1))</f>
        <v>446.5364328843699</v>
      </c>
      <c r="T49" s="62">
        <f t="shared" si="34"/>
        <v>559.96606361482179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3.9822162196868485</v>
      </c>
      <c r="AA49" s="23">
        <f>EXP(-LN(2)/25)*AA48+(1-EXP(-LN(2)/25))/(LN(2)/25)*Calculateur!V49*Calculateur!X49*VLOOKUP('Données projet'!$B$9,Paramètres!$A$1:$I$89,3,0)*0.475*44/12</f>
        <v>6.9116704573384995</v>
      </c>
      <c r="AB49" s="23">
        <f>EXP(-LN(2)/2)*AB48+(1-EXP(-LN(2)/2))/(LN(2)/2)*V49*Y49*VLOOKUP('Données projet'!$B$9,Paramètres!$A$1:$I$89,3,0)*0.475*44/12</f>
        <v>5.1140069792999371E-2</v>
      </c>
      <c r="AC49" s="24">
        <f t="shared" si="3"/>
        <v>10.945026746818348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-5.6843418860808015E-14</v>
      </c>
      <c r="AJ49" s="14">
        <f>AI49*VLOOKUP('Données projet'!$B$10,Paramètres!$A$1:$I$89,3,0)*VLOOKUP('Données projet'!$B$10,Paramètres!$A$1:$I$89,5,0)</f>
        <v>-3.1036506698001178E-14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164.0740581424559</v>
      </c>
      <c r="AO49" s="62">
        <f t="shared" si="36"/>
        <v>280.99861170359793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11.940008531826074</v>
      </c>
      <c r="AV49" s="23">
        <f>EXP(-LN(2)/25)*AV48+(1-EXP(-LN(2)/25))/(LN(2)/25)*Calculateur!AQ49*Calculateur!AS49*VLOOKUP('Données projet'!$B$10,Paramètres!$A$1:$I$89,3,0)*0.475*44/12</f>
        <v>24.397656819749695</v>
      </c>
      <c r="AW49" s="23">
        <f>EXP(-LN(2)/2)*AW48+(1-EXP(-LN(2)/2))/(LN(2)/2)*AQ49*AT49*VLOOKUP('Données projet'!$B$10,Paramètres!$A$1:$I$89,3,0)*0.475*44/12</f>
        <v>6.3815898968771739E-2</v>
      </c>
      <c r="AX49" s="23">
        <f t="shared" si="6"/>
        <v>36.401481250544535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7.4444444444444446</v>
      </c>
      <c r="BD49" s="13">
        <f>IF('Données projet'!$A$88&gt;35,BD48+BC49-BL48,IF(A49&lt;'Données projet'!$A$88,$BA$205^A49,IF(A49='Données projet'!$A$88,'Données projet'!$B$88,BD48+BC49-BL48)))</f>
        <v>163.44444444444443</v>
      </c>
      <c r="BE49" s="14">
        <f>BD49*VLOOKUP('Données projet'!$B$11,Paramètres!$A$1:$I$89,3,0)*VLOOKUP('Données projet'!$B$11,Paramètres!$A$1:$I$89,5,0)</f>
        <v>76.49199999999999</v>
      </c>
      <c r="BF49" s="14">
        <f t="shared" si="37"/>
        <v>21.277234347483091</v>
      </c>
      <c r="BG49" s="22">
        <f t="shared" si="7"/>
        <v>170.28141648853304</v>
      </c>
      <c r="BH49" s="62">
        <f t="shared" si="8"/>
        <v>463.61474982186633</v>
      </c>
      <c r="BI49" s="62">
        <f ca="1">AVERAGE(OFFSET($BH$3,0,0,'Données projet'!$E$11+1,1))-AVERAGE(OFFSET($H$3,0,0,'Données projet'!$E$11+1,1))</f>
        <v>90.829393941874685</v>
      </c>
      <c r="BJ49" s="62">
        <f t="shared" si="38"/>
        <v>113.5315547498717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2.1907439883347277</v>
      </c>
      <c r="BQ49" s="23">
        <f>EXP(-LN(2)/25)*BQ48+(1-EXP(-LN(2)/25))/(LN(2)/25)*Calculateur!BL49*Calculateur!BN49*VLOOKUP('Données projet'!$B$11,Paramètres!$A$1:$I$89,3,0)*0.475*44/12</f>
        <v>3.6618994753525937</v>
      </c>
      <c r="BR49" s="23">
        <f>EXP(-LN(2)/2)*BR48+(1-EXP(-LN(2)/2))/(LN(2)/2)*BL49*BO49*VLOOKUP('Données projet'!$B$11,Paramètres!$A$1:$I$89,3,0)*0.475*44/12</f>
        <v>9.0404142256846221E-3</v>
      </c>
      <c r="BS49" s="24">
        <f t="shared" si="9"/>
        <v>5.8616838779130065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9.8000000000000007</v>
      </c>
      <c r="BY49" s="13">
        <f>IF('Données projet'!$A$114&gt;35,BY48+BX49-CG48,IF(A49&lt;'Données projet'!$A$114,$BV$205^A49,IF(A49='Données projet'!$A$114,'Données projet'!$B$114,BY48+BX49-CG48)))</f>
        <v>263.7999999999999</v>
      </c>
      <c r="BZ49" s="14">
        <f>BY49*VLOOKUP('Données projet'!$B$12,Paramètres!$A$1:$I$89,3,0)*VLOOKUP('Données projet'!$B$12,Paramètres!$A$1:$I$89,5,0)</f>
        <v>172.84175999999994</v>
      </c>
      <c r="CA49" s="14">
        <f t="shared" si="39"/>
        <v>43.725867908425457</v>
      </c>
      <c r="CB49" s="22">
        <f t="shared" si="10"/>
        <v>377.18861860717419</v>
      </c>
      <c r="CC49" s="62">
        <f t="shared" si="11"/>
        <v>670.52195194050751</v>
      </c>
      <c r="CD49" s="62">
        <f ca="1">AVERAGE(OFFSET($CC$3,0,0,'Données projet'!$E$12+1,1))-AVERAGE(OFFSET($H$3,0,0,'Données projet'!$E$12+1,1))</f>
        <v>211.95495599943246</v>
      </c>
      <c r="CE49" s="62">
        <f t="shared" si="40"/>
        <v>270.47407508916842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1.815870861125525</v>
      </c>
      <c r="CL49" s="23">
        <f>EXP(-LN(2)/25)*CL48+(1-EXP(-LN(2)/25))/(LN(2)/25)*Calculateur!CG49*Calculateur!CI49*VLOOKUP('Données projet'!$B$12,Paramètres!$A$1:$I$89,3,0)*0.475*44/12</f>
        <v>10.988264740274406</v>
      </c>
      <c r="CM49" s="23">
        <f>EXP(-LN(2)/2)*CM48+(1-EXP(-LN(2)/2))/(LN(2)/2)*CG49*CJ49*VLOOKUP('Données projet'!$B$12,Paramètres!$A$1:$I$89,3,0)*0.475*44/12</f>
        <v>4.9325743255053477E-2</v>
      </c>
      <c r="CN49" s="24">
        <f t="shared" si="12"/>
        <v>12.853461344654985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18.2</v>
      </c>
      <c r="N50" s="14">
        <f>IF('Données projet'!$A$36&gt;35,N49+M50-V49,IF(A50&lt;'Données projet'!$A$36,$K$205^A50,IF(A50='Données projet'!$A$36,'Données projet'!$B$36,N49+M50-V49)))</f>
        <v>608.39999999999986</v>
      </c>
      <c r="O50" s="14">
        <f>N50*VLOOKUP('Données projet'!$B$9,Paramètres!$A$1:$I$89,3,0)*VLOOKUP('Données projet'!$B$9,Paramètres!$A$1:$I$89,5,0)</f>
        <v>340.09559999999988</v>
      </c>
      <c r="P50" s="14">
        <f t="shared" si="33"/>
        <v>79.519697663882184</v>
      </c>
      <c r="Q50" s="22">
        <f t="shared" si="53"/>
        <v>730.82997676459456</v>
      </c>
      <c r="R50" s="62">
        <f t="shared" si="0"/>
        <v>1024.1633100979279</v>
      </c>
      <c r="S50" s="62">
        <f ca="1">AVERAGE(OFFSET($R$3,0,0,'Données projet'!$E$9+1,1))-AVERAGE(OFFSET($H$3,0,0,'Données projet'!$E$9+1,1))</f>
        <v>446.5364328843699</v>
      </c>
      <c r="T50" s="62">
        <f t="shared" si="34"/>
        <v>559.96606361482179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3.9041273885308483</v>
      </c>
      <c r="AA50" s="23">
        <f>EXP(-LN(2)/25)*AA49+(1-EXP(-LN(2)/25))/(LN(2)/25)*Calculateur!V50*Calculateur!X50*VLOOKUP('Données projet'!$B$9,Paramètres!$A$1:$I$89,3,0)*0.475*44/12</f>
        <v>6.7226704652136258</v>
      </c>
      <c r="AB50" s="23">
        <f>EXP(-LN(2)/2)*AB49+(1-EXP(-LN(2)/2))/(LN(2)/2)*V50*Y50*VLOOKUP('Données projet'!$B$9,Paramètres!$A$1:$I$89,3,0)*0.475*44/12</f>
        <v>3.6161490140983174E-2</v>
      </c>
      <c r="AC50" s="24">
        <f t="shared" si="3"/>
        <v>10.662959343885458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-5.6843418860808015E-14</v>
      </c>
      <c r="AJ50" s="14">
        <f>AI50*VLOOKUP('Données projet'!$B$10,Paramètres!$A$1:$I$89,3,0)*VLOOKUP('Données projet'!$B$10,Paramètres!$A$1:$I$89,5,0)</f>
        <v>-3.1036506698001178E-14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164.0740581424559</v>
      </c>
      <c r="AO50" s="62">
        <f t="shared" si="36"/>
        <v>280.99861170359793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11.705872247203063</v>
      </c>
      <c r="AV50" s="23">
        <f>EXP(-LN(2)/25)*AV49+(1-EXP(-LN(2)/25))/(LN(2)/25)*Calculateur!AQ50*Calculateur!AS50*VLOOKUP('Données projet'!$B$10,Paramètres!$A$1:$I$89,3,0)*0.475*44/12</f>
        <v>23.73050161099663</v>
      </c>
      <c r="AW50" s="23">
        <f>EXP(-LN(2)/2)*AW49+(1-EXP(-LN(2)/2))/(LN(2)/2)*AQ50*AT50*VLOOKUP('Données projet'!$B$10,Paramètres!$A$1:$I$89,3,0)*0.475*44/12</f>
        <v>4.5124654908334103E-2</v>
      </c>
      <c r="AX50" s="23">
        <f t="shared" si="6"/>
        <v>35.481498513108029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7.4444444444444446</v>
      </c>
      <c r="BD50" s="13">
        <f>IF('Données projet'!$A$88&gt;35,BD49+BC50-BL49,IF(A50&lt;'Données projet'!$A$88,$BA$205^A50,IF(A50='Données projet'!$A$88,'Données projet'!$B$88,BD49+BC50-BL49)))</f>
        <v>170.88888888888889</v>
      </c>
      <c r="BE50" s="14">
        <f>BD50*VLOOKUP('Données projet'!$B$11,Paramètres!$A$1:$I$89,3,0)*VLOOKUP('Données projet'!$B$11,Paramètres!$A$1:$I$89,5,0)</f>
        <v>79.975999999999999</v>
      </c>
      <c r="BF50" s="14">
        <f t="shared" si="37"/>
        <v>22.131315901423608</v>
      </c>
      <c r="BG50" s="22">
        <f t="shared" si="7"/>
        <v>177.83690852831276</v>
      </c>
      <c r="BH50" s="62">
        <f t="shared" si="8"/>
        <v>471.1702418616461</v>
      </c>
      <c r="BI50" s="62">
        <f ca="1">AVERAGE(OFFSET($BH$3,0,0,'Données projet'!$E$11+1,1))-AVERAGE(OFFSET($H$3,0,0,'Données projet'!$E$11+1,1))</f>
        <v>90.829393941874685</v>
      </c>
      <c r="BJ50" s="62">
        <f t="shared" si="38"/>
        <v>113.5315547498717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2.1477848349453756</v>
      </c>
      <c r="BQ50" s="23">
        <f>EXP(-LN(2)/25)*BQ49+(1-EXP(-LN(2)/25))/(LN(2)/25)*Calculateur!BL50*Calculateur!BN50*VLOOKUP('Données projet'!$B$11,Paramètres!$A$1:$I$89,3,0)*0.475*44/12</f>
        <v>3.561764641628153</v>
      </c>
      <c r="BR50" s="23">
        <f>EXP(-LN(2)/2)*BR49+(1-EXP(-LN(2)/2))/(LN(2)/2)*BL50*BO50*VLOOKUP('Données projet'!$B$11,Paramètres!$A$1:$I$89,3,0)*0.475*44/12</f>
        <v>6.3925382037169276E-3</v>
      </c>
      <c r="BS50" s="24">
        <f t="shared" si="9"/>
        <v>5.7159420147772453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9.8000000000000007</v>
      </c>
      <c r="BY50" s="13">
        <f>IF('Données projet'!$A$114&gt;35,BY49+BX50-CG49,IF(A50&lt;'Données projet'!$A$114,$BV$205^A50,IF(A50='Données projet'!$A$114,'Données projet'!$B$114,BY49+BX50-CG49)))</f>
        <v>273.59999999999991</v>
      </c>
      <c r="BZ50" s="14">
        <f>BY50*VLOOKUP('Données projet'!$B$12,Paramètres!$A$1:$I$89,3,0)*VLOOKUP('Données projet'!$B$12,Paramètres!$A$1:$I$89,5,0)</f>
        <v>179.26271999999994</v>
      </c>
      <c r="CA50" s="14">
        <f t="shared" si="39"/>
        <v>45.158115787467111</v>
      </c>
      <c r="CB50" s="22">
        <f t="shared" si="10"/>
        <v>390.86628899650509</v>
      </c>
      <c r="CC50" s="62">
        <f t="shared" si="11"/>
        <v>684.19962232983835</v>
      </c>
      <c r="CD50" s="62">
        <f ca="1">AVERAGE(OFFSET($CC$3,0,0,'Données projet'!$E$12+1,1))-AVERAGE(OFFSET($H$3,0,0,'Données projet'!$E$12+1,1))</f>
        <v>211.95495599943246</v>
      </c>
      <c r="CE50" s="62">
        <f t="shared" si="40"/>
        <v>270.47407508916842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1.780262741110715</v>
      </c>
      <c r="CL50" s="23">
        <f>EXP(-LN(2)/25)*CL49+(1-EXP(-LN(2)/25))/(LN(2)/25)*Calculateur!CG50*Calculateur!CI50*VLOOKUP('Données projet'!$B$12,Paramètres!$A$1:$I$89,3,0)*0.475*44/12</f>
        <v>10.687790063103874</v>
      </c>
      <c r="CM50" s="23">
        <f>EXP(-LN(2)/2)*CM49+(1-EXP(-LN(2)/2))/(LN(2)/2)*CG50*CJ50*VLOOKUP('Données projet'!$B$12,Paramètres!$A$1:$I$89,3,0)*0.475*44/12</f>
        <v>3.4878567542714921E-2</v>
      </c>
      <c r="CN50" s="24">
        <f t="shared" si="12"/>
        <v>12.502931371757303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18.2</v>
      </c>
      <c r="N51" s="14">
        <f>IF('Données projet'!$A$36&gt;35,N50+M51-V50,IF(A51&lt;'Données projet'!$A$36,$K$205^A51,IF(A51='Données projet'!$A$36,'Données projet'!$B$36,N50+M51-V50)))</f>
        <v>626.59999999999991</v>
      </c>
      <c r="O51" s="14">
        <f>N51*VLOOKUP('Données projet'!$B$9,Paramètres!$A$1:$I$89,3,0)*VLOOKUP('Données projet'!$B$9,Paramètres!$A$1:$I$89,5,0)</f>
        <v>350.26939999999991</v>
      </c>
      <c r="P51" s="14">
        <f t="shared" si="33"/>
        <v>81.617981011612585</v>
      </c>
      <c r="Q51" s="22">
        <f t="shared" si="53"/>
        <v>752.20385526189159</v>
      </c>
      <c r="R51" s="62">
        <f t="shared" si="0"/>
        <v>1045.537188595225</v>
      </c>
      <c r="S51" s="62">
        <f ca="1">AVERAGE(OFFSET($R$3,0,0,'Données projet'!$E$9+1,1))-AVERAGE(OFFSET($H$3,0,0,'Données projet'!$E$9+1,1))</f>
        <v>446.5364328843699</v>
      </c>
      <c r="T51" s="62">
        <f t="shared" si="34"/>
        <v>559.96606361482179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3.8275698317243334</v>
      </c>
      <c r="AA51" s="23">
        <f>EXP(-LN(2)/25)*AA50+(1-EXP(-LN(2)/25))/(LN(2)/25)*Calculateur!V51*Calculateur!X51*VLOOKUP('Données projet'!$B$9,Paramètres!$A$1:$I$89,3,0)*0.475*44/12</f>
        <v>6.5388386878124845</v>
      </c>
      <c r="AB51" s="23">
        <f>EXP(-LN(2)/2)*AB50+(1-EXP(-LN(2)/2))/(LN(2)/2)*V51*Y51*VLOOKUP('Données projet'!$B$9,Paramètres!$A$1:$I$89,3,0)*0.475*44/12</f>
        <v>2.5570034896499685E-2</v>
      </c>
      <c r="AC51" s="24">
        <f t="shared" si="3"/>
        <v>10.391978554433319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-5.6843418860808015E-14</v>
      </c>
      <c r="AJ51" s="14">
        <f>AI51*VLOOKUP('Données projet'!$B$10,Paramètres!$A$1:$I$89,3,0)*VLOOKUP('Données projet'!$B$10,Paramètres!$A$1:$I$89,5,0)</f>
        <v>-3.1036506698001178E-14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164.0740581424559</v>
      </c>
      <c r="AO51" s="62">
        <f t="shared" si="36"/>
        <v>280.99861170359793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11.476327232312476</v>
      </c>
      <c r="AV51" s="23">
        <f>EXP(-LN(2)/25)*AV50+(1-EXP(-LN(2)/25))/(LN(2)/25)*Calculateur!AQ51*Calculateur!AS51*VLOOKUP('Données projet'!$B$10,Paramètres!$A$1:$I$89,3,0)*0.475*44/12</f>
        <v>23.081589796511082</v>
      </c>
      <c r="AW51" s="23">
        <f>EXP(-LN(2)/2)*AW50+(1-EXP(-LN(2)/2))/(LN(2)/2)*AQ51*AT51*VLOOKUP('Données projet'!$B$10,Paramètres!$A$1:$I$89,3,0)*0.475*44/12</f>
        <v>3.190794948438587E-2</v>
      </c>
      <c r="AX51" s="23">
        <f t="shared" si="6"/>
        <v>34.589824978307945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7.4444444444444446</v>
      </c>
      <c r="BD51" s="13">
        <f>IF('Données projet'!$A$88&gt;35,BD50+BC51-BL50,IF(A51&lt;'Données projet'!$A$88,$BA$205^A51,IF(A51='Données projet'!$A$88,'Données projet'!$B$88,BD50+BC51-BL50)))</f>
        <v>178.33333333333334</v>
      </c>
      <c r="BE51" s="14">
        <f>BD51*VLOOKUP('Données projet'!$B$11,Paramètres!$A$1:$I$89,3,0)*VLOOKUP('Données projet'!$B$11,Paramètres!$A$1:$I$89,5,0)</f>
        <v>83.460000000000008</v>
      </c>
      <c r="BF51" s="14">
        <f t="shared" si="37"/>
        <v>22.981076147201239</v>
      </c>
      <c r="BG51" s="22">
        <f t="shared" si="7"/>
        <v>185.38487428970882</v>
      </c>
      <c r="BH51" s="62">
        <f t="shared" si="8"/>
        <v>478.71820762304213</v>
      </c>
      <c r="BI51" s="62">
        <f ca="1">AVERAGE(OFFSET($BH$3,0,0,'Données projet'!$E$11+1,1))-AVERAGE(OFFSET($H$3,0,0,'Données projet'!$E$11+1,1))</f>
        <v>90.829393941874685</v>
      </c>
      <c r="BJ51" s="62">
        <f t="shared" si="38"/>
        <v>113.5315547498717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2.1056680843514926</v>
      </c>
      <c r="BQ51" s="23">
        <f>EXP(-LN(2)/25)*BQ50+(1-EXP(-LN(2)/25))/(LN(2)/25)*Calculateur!BL51*Calculateur!BN51*VLOOKUP('Données projet'!$B$11,Paramètres!$A$1:$I$89,3,0)*0.475*44/12</f>
        <v>3.4643680001977692</v>
      </c>
      <c r="BR51" s="23">
        <f>EXP(-LN(2)/2)*BR50+(1-EXP(-LN(2)/2))/(LN(2)/2)*BL51*BO51*VLOOKUP('Données projet'!$B$11,Paramètres!$A$1:$I$89,3,0)*0.475*44/12</f>
        <v>4.5202071128423111E-3</v>
      </c>
      <c r="BS51" s="24">
        <f t="shared" si="9"/>
        <v>5.5745562916621045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9.8000000000000007</v>
      </c>
      <c r="BY51" s="13">
        <f>IF('Données projet'!$A$114&gt;35,BY50+BX51-CG50,IF(A51&lt;'Données projet'!$A$114,$BV$205^A51,IF(A51='Données projet'!$A$114,'Données projet'!$B$114,BY50+BX51-CG50)))</f>
        <v>283.39999999999992</v>
      </c>
      <c r="BZ51" s="14">
        <f>BY51*VLOOKUP('Données projet'!$B$12,Paramètres!$A$1:$I$89,3,0)*VLOOKUP('Données projet'!$B$12,Paramètres!$A$1:$I$89,5,0)</f>
        <v>185.68367999999995</v>
      </c>
      <c r="CA51" s="14">
        <f t="shared" si="39"/>
        <v>46.584403282779078</v>
      </c>
      <c r="CB51" s="22">
        <f t="shared" si="10"/>
        <v>404.5335783841735</v>
      </c>
      <c r="CC51" s="62">
        <f t="shared" si="11"/>
        <v>697.86691171750681</v>
      </c>
      <c r="CD51" s="62">
        <f ca="1">AVERAGE(OFFSET($CC$3,0,0,'Données projet'!$E$12+1,1))-AVERAGE(OFFSET($H$3,0,0,'Données projet'!$E$12+1,1))</f>
        <v>211.95495599943246</v>
      </c>
      <c r="CE51" s="62">
        <f t="shared" si="40"/>
        <v>270.47407508916842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1.7453528746105869</v>
      </c>
      <c r="CL51" s="23">
        <f>EXP(-LN(2)/25)*CL50+(1-EXP(-LN(2)/25))/(LN(2)/25)*Calculateur!CG51*Calculateur!CI51*VLOOKUP('Données projet'!$B$12,Paramètres!$A$1:$I$89,3,0)*0.475*44/12</f>
        <v>10.395531881781846</v>
      </c>
      <c r="CM51" s="23">
        <f>EXP(-LN(2)/2)*CM50+(1-EXP(-LN(2)/2))/(LN(2)/2)*CG51*CJ51*VLOOKUP('Données projet'!$B$12,Paramètres!$A$1:$I$89,3,0)*0.475*44/12</f>
        <v>2.4662871627526738E-2</v>
      </c>
      <c r="CN51" s="24">
        <f t="shared" si="12"/>
        <v>12.16554762801996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18.2</v>
      </c>
      <c r="N52" s="14">
        <f>IF('Données projet'!$A$36&gt;35,N51+M52-V51,IF(A52&lt;'Données projet'!$A$36,$K$205^A52,IF(A52='Données projet'!$A$36,'Données projet'!$B$36,N51+M52-V51)))</f>
        <v>644.79999999999995</v>
      </c>
      <c r="O52" s="14">
        <f>N52*VLOOKUP('Données projet'!$B$9,Paramètres!$A$1:$I$89,3,0)*VLOOKUP('Données projet'!$B$9,Paramètres!$A$1:$I$89,5,0)</f>
        <v>360.44319999999993</v>
      </c>
      <c r="P52" s="14">
        <f t="shared" si="33"/>
        <v>83.709181172614507</v>
      </c>
      <c r="Q52" s="22">
        <f t="shared" si="53"/>
        <v>773.56539720897001</v>
      </c>
      <c r="R52" s="62">
        <f t="shared" si="0"/>
        <v>1066.8987305423034</v>
      </c>
      <c r="S52" s="62">
        <f ca="1">AVERAGE(OFFSET($R$3,0,0,'Données projet'!$E$9+1,1))-AVERAGE(OFFSET($H$3,0,0,'Données projet'!$E$9+1,1))</f>
        <v>446.5364328843699</v>
      </c>
      <c r="T52" s="62">
        <f t="shared" si="34"/>
        <v>559.96606361482179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3.7525135219112951</v>
      </c>
      <c r="AA52" s="23">
        <f>EXP(-LN(2)/25)*AA51+(1-EXP(-LN(2)/25))/(LN(2)/25)*Calculateur!V52*Calculateur!X52*VLOOKUP('Données projet'!$B$9,Paramètres!$A$1:$I$89,3,0)*0.475*44/12</f>
        <v>6.3600338000316698</v>
      </c>
      <c r="AB52" s="23">
        <f>EXP(-LN(2)/2)*AB51+(1-EXP(-LN(2)/2))/(LN(2)/2)*V52*Y52*VLOOKUP('Données projet'!$B$9,Paramètres!$A$1:$I$89,3,0)*0.475*44/12</f>
        <v>1.8080745070491587E-2</v>
      </c>
      <c r="AC52" s="24">
        <f t="shared" si="3"/>
        <v>10.130628067013458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-5.6843418860808015E-14</v>
      </c>
      <c r="AJ52" s="14">
        <f>AI52*VLOOKUP('Données projet'!$B$10,Paramètres!$A$1:$I$89,3,0)*VLOOKUP('Données projet'!$B$10,Paramètres!$A$1:$I$89,5,0)</f>
        <v>-3.1036506698001178E-14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164.0740581424559</v>
      </c>
      <c r="AO52" s="62">
        <f t="shared" si="36"/>
        <v>280.99861170359793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11.25128345515526</v>
      </c>
      <c r="AV52" s="23">
        <f>EXP(-LN(2)/25)*AV51+(1-EXP(-LN(2)/25))/(LN(2)/25)*Calculateur!AQ52*Calculateur!AS52*VLOOKUP('Données projet'!$B$10,Paramètres!$A$1:$I$89,3,0)*0.475*44/12</f>
        <v>22.450422509717434</v>
      </c>
      <c r="AW52" s="23">
        <f>EXP(-LN(2)/2)*AW51+(1-EXP(-LN(2)/2))/(LN(2)/2)*AQ52*AT52*VLOOKUP('Données projet'!$B$10,Paramètres!$A$1:$I$89,3,0)*0.475*44/12</f>
        <v>2.2562327454167051E-2</v>
      </c>
      <c r="AX52" s="23">
        <f t="shared" si="6"/>
        <v>33.724268292326862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7.4444444444444446</v>
      </c>
      <c r="BD52" s="13">
        <f>IF('Données projet'!$A$88&gt;35,BD51+BC52-BL51,IF(A52&lt;'Données projet'!$A$88,$BA$205^A52,IF(A52='Données projet'!$A$88,'Données projet'!$B$88,BD51+BC52-BL51)))</f>
        <v>185.7777777777778</v>
      </c>
      <c r="BE52" s="14">
        <f>BD52*VLOOKUP('Données projet'!$B$11,Paramètres!$A$1:$I$89,3,0)*VLOOKUP('Données projet'!$B$11,Paramètres!$A$1:$I$89,5,0)</f>
        <v>86.944000000000017</v>
      </c>
      <c r="BF52" s="14">
        <f t="shared" si="37"/>
        <v>23.826716103983021</v>
      </c>
      <c r="BG52" s="22">
        <f t="shared" si="7"/>
        <v>192.92566388110376</v>
      </c>
      <c r="BH52" s="62">
        <f t="shared" si="8"/>
        <v>486.25899721443704</v>
      </c>
      <c r="BI52" s="62">
        <f ca="1">AVERAGE(OFFSET($BH$3,0,0,'Données projet'!$E$11+1,1))-AVERAGE(OFFSET($H$3,0,0,'Données projet'!$E$11+1,1))</f>
        <v>90.829393941874685</v>
      </c>
      <c r="BJ52" s="62">
        <f t="shared" si="38"/>
        <v>113.5315547498717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2.0643772175480741</v>
      </c>
      <c r="BQ52" s="23">
        <f>EXP(-LN(2)/25)*BQ51+(1-EXP(-LN(2)/25))/(LN(2)/25)*Calculateur!BL52*Calculateur!BN52*VLOOKUP('Données projet'!$B$11,Paramètres!$A$1:$I$89,3,0)*0.475*44/12</f>
        <v>3.3696346750491659</v>
      </c>
      <c r="BR52" s="23">
        <f>EXP(-LN(2)/2)*BR51+(1-EXP(-LN(2)/2))/(LN(2)/2)*BL52*BO52*VLOOKUP('Données projet'!$B$11,Paramètres!$A$1:$I$89,3,0)*0.475*44/12</f>
        <v>3.1962691018584638E-3</v>
      </c>
      <c r="BS52" s="24">
        <f t="shared" si="9"/>
        <v>5.4372081616990986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9.8000000000000007</v>
      </c>
      <c r="BY52" s="13">
        <f>IF('Données projet'!$A$114&gt;35,BY51+BX52-CG51,IF(A52&lt;'Données projet'!$A$114,$BV$205^A52,IF(A52='Données projet'!$A$114,'Données projet'!$B$114,BY51+BX52-CG51)))</f>
        <v>293.19999999999993</v>
      </c>
      <c r="BZ52" s="14">
        <f>BY52*VLOOKUP('Données projet'!$B$12,Paramètres!$A$1:$I$89,3,0)*VLOOKUP('Données projet'!$B$12,Paramètres!$A$1:$I$89,5,0)</f>
        <v>192.10463999999996</v>
      </c>
      <c r="CA52" s="14">
        <f t="shared" si="39"/>
        <v>48.004960126879922</v>
      </c>
      <c r="CB52" s="22">
        <f t="shared" si="10"/>
        <v>418.19088688764913</v>
      </c>
      <c r="CC52" s="62">
        <f t="shared" si="11"/>
        <v>711.52422022098244</v>
      </c>
      <c r="CD52" s="62">
        <f ca="1">AVERAGE(OFFSET($CC$3,0,0,'Données projet'!$E$12+1,1))-AVERAGE(OFFSET($H$3,0,0,'Données projet'!$E$12+1,1))</f>
        <v>211.95495599943246</v>
      </c>
      <c r="CE52" s="62">
        <f t="shared" si="40"/>
        <v>270.47407508916842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1.7111275692996102</v>
      </c>
      <c r="CL52" s="23">
        <f>EXP(-LN(2)/25)*CL51+(1-EXP(-LN(2)/25))/(LN(2)/25)*Calculateur!CG52*Calculateur!CI52*VLOOKUP('Données projet'!$B$12,Paramètres!$A$1:$I$89,3,0)*0.475*44/12</f>
        <v>10.111265515797259</v>
      </c>
      <c r="CM52" s="23">
        <f>EXP(-LN(2)/2)*CM51+(1-EXP(-LN(2)/2))/(LN(2)/2)*CG52*CJ52*VLOOKUP('Données projet'!$B$12,Paramètres!$A$1:$I$89,3,0)*0.475*44/12</f>
        <v>1.743928377135746E-2</v>
      </c>
      <c r="CN52" s="24">
        <f t="shared" si="12"/>
        <v>11.839832368868226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663</v>
      </c>
      <c r="L53" s="13">
        <f>VLOOKUP(A53,'Données projet'!$A$35:$I$55,9,0)</f>
        <v>18.2</v>
      </c>
      <c r="M53" s="13">
        <f t="array" ref="M53">INDEX(L:L,MIN(IF(ISNUMBER(L53:L249),ROW(L53:L249),"")))</f>
        <v>18.2</v>
      </c>
      <c r="N53" s="14">
        <f>IF('Données projet'!$A$36&gt;35,N52+M53-V52,IF(A53&lt;'Données projet'!$A$36,$K$205^A53,IF(A53='Données projet'!$A$36,'Données projet'!$B$36,N52+M53-V52)))</f>
        <v>663</v>
      </c>
      <c r="O53" s="14">
        <f>N53*VLOOKUP('Données projet'!$B$9,Paramètres!$A$1:$I$89,3,0)*VLOOKUP('Données projet'!$B$9,Paramètres!$A$1:$I$89,5,0)</f>
        <v>370.61699999999996</v>
      </c>
      <c r="P53" s="14">
        <f t="shared" si="33"/>
        <v>85.793521040948463</v>
      </c>
      <c r="Q53" s="22">
        <f t="shared" si="53"/>
        <v>794.91499081298514</v>
      </c>
      <c r="R53" s="62">
        <f t="shared" si="0"/>
        <v>1088.2483241463185</v>
      </c>
      <c r="S53" s="62">
        <f ca="1">AVERAGE(OFFSET($R$3,0,0,'Données projet'!$E$9+1,1))-AVERAGE(OFFSET($H$3,0,0,'Données projet'!$E$9+1,1))</f>
        <v>446.5364328843699</v>
      </c>
      <c r="T53" s="62">
        <f t="shared" si="34"/>
        <v>559.96606361482179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73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3.6789290205538618</v>
      </c>
      <c r="AA53" s="23">
        <f>EXP(-LN(2)/25)*AA52+(1-EXP(-LN(2)/25))/(LN(2)/25)*Calculateur!V53*Calculateur!X53*VLOOKUP('Données projet'!$B$9,Paramètres!$A$1:$I$89,3,0)*0.475*44/12</f>
        <v>6.1861183413101619</v>
      </c>
      <c r="AB53" s="23">
        <f>EXP(-LN(2)/2)*AB52+(1-EXP(-LN(2)/2))/(LN(2)/2)*V53*Y53*VLOOKUP('Données projet'!$B$9,Paramètres!$A$1:$I$89,3,0)*0.475*44/12</f>
        <v>1.2785017448249843E-2</v>
      </c>
      <c r="AC53" s="24">
        <f t="shared" si="3"/>
        <v>9.8778323793122738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-5.6843418860808015E-14</v>
      </c>
      <c r="AJ53" s="14">
        <f>AI53*VLOOKUP('Données projet'!$B$10,Paramètres!$A$1:$I$89,3,0)*VLOOKUP('Données projet'!$B$10,Paramètres!$A$1:$I$89,5,0)</f>
        <v>-3.1036506698001178E-14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164.0740581424559</v>
      </c>
      <c r="AO53" s="62">
        <f t="shared" si="36"/>
        <v>280.99861170359793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11.030652649204947</v>
      </c>
      <c r="AV53" s="23">
        <f>EXP(-LN(2)/25)*AV52+(1-EXP(-LN(2)/25))/(LN(2)/25)*Calculateur!AQ53*Calculateur!AS53*VLOOKUP('Données projet'!$B$10,Paramètres!$A$1:$I$89,3,0)*0.475*44/12</f>
        <v>21.836514525572802</v>
      </c>
      <c r="AW53" s="23">
        <f>EXP(-LN(2)/2)*AW52+(1-EXP(-LN(2)/2))/(LN(2)/2)*AQ53*AT53*VLOOKUP('Données projet'!$B$10,Paramètres!$A$1:$I$89,3,0)*0.475*44/12</f>
        <v>1.5953974742192935E-2</v>
      </c>
      <c r="AX53" s="23">
        <f t="shared" si="6"/>
        <v>32.883121149519944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7.4444444444444446</v>
      </c>
      <c r="BD53" s="13">
        <f>IF('Données projet'!$A$88&gt;35,BD52+BC53-BL52,IF(A53&lt;'Données projet'!$A$88,$BA$205^A53,IF(A53='Données projet'!$A$88,'Données projet'!$B$88,BD52+BC53-BL52)))</f>
        <v>193.22222222222226</v>
      </c>
      <c r="BE53" s="14">
        <f>BD53*VLOOKUP('Données projet'!$B$11,Paramètres!$A$1:$I$89,3,0)*VLOOKUP('Données projet'!$B$11,Paramètres!$A$1:$I$89,5,0)</f>
        <v>90.428000000000026</v>
      </c>
      <c r="BF53" s="14">
        <f t="shared" si="37"/>
        <v>24.668419768668851</v>
      </c>
      <c r="BG53" s="22">
        <f t="shared" si="7"/>
        <v>200.45959776376495</v>
      </c>
      <c r="BH53" s="62">
        <f t="shared" si="8"/>
        <v>493.79293109709829</v>
      </c>
      <c r="BI53" s="62">
        <f ca="1">AVERAGE(OFFSET($BH$3,0,0,'Données projet'!$E$11+1,1))-AVERAGE(OFFSET($H$3,0,0,'Données projet'!$E$11+1,1))</f>
        <v>90.829393941874685</v>
      </c>
      <c r="BJ53" s="62">
        <f t="shared" si="38"/>
        <v>113.5315547498717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2.0238960394577288</v>
      </c>
      <c r="BQ53" s="23">
        <f>EXP(-LN(2)/25)*BQ52+(1-EXP(-LN(2)/25))/(LN(2)/25)*Calculateur!BL53*Calculateur!BN53*VLOOKUP('Données projet'!$B$11,Paramètres!$A$1:$I$89,3,0)*0.475*44/12</f>
        <v>3.2774918376585602</v>
      </c>
      <c r="BR53" s="23">
        <f>EXP(-LN(2)/2)*BR52+(1-EXP(-LN(2)/2))/(LN(2)/2)*BL53*BO53*VLOOKUP('Données projet'!$B$11,Paramètres!$A$1:$I$89,3,0)*0.475*44/12</f>
        <v>2.2601035564211555E-3</v>
      </c>
      <c r="BS53" s="24">
        <f t="shared" si="9"/>
        <v>5.3036479806727099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303</v>
      </c>
      <c r="BW53" s="13">
        <f>VLOOKUP(A53,'Données projet'!$A$113:$I$133,9,0)</f>
        <v>9.8000000000000007</v>
      </c>
      <c r="BX53" s="13">
        <f t="array" ref="BX53">INDEX(BW:BW,MIN(IF(ISNUMBER(BW53:BW249),ROW(BW53:BW249),"")))</f>
        <v>9.8000000000000007</v>
      </c>
      <c r="BY53" s="13">
        <f>IF('Données projet'!$A$114&gt;35,BY52+BX53-CG52,IF(A53&lt;'Données projet'!$A$114,$BV$205^A53,IF(A53='Données projet'!$A$114,'Données projet'!$B$114,BY52+BX53-CG52)))</f>
        <v>302.99999999999994</v>
      </c>
      <c r="BZ53" s="14">
        <f>BY53*VLOOKUP('Données projet'!$B$12,Paramètres!$A$1:$I$89,3,0)*VLOOKUP('Données projet'!$B$12,Paramètres!$A$1:$I$89,5,0)</f>
        <v>198.52559999999997</v>
      </c>
      <c r="CA53" s="14">
        <f t="shared" si="39"/>
        <v>49.419999823587155</v>
      </c>
      <c r="CB53" s="22">
        <f t="shared" si="10"/>
        <v>431.83858635941419</v>
      </c>
      <c r="CC53" s="62">
        <f t="shared" si="11"/>
        <v>725.17191969274745</v>
      </c>
      <c r="CD53" s="62">
        <f ca="1">AVERAGE(OFFSET($CC$3,0,0,'Données projet'!$E$12+1,1))-AVERAGE(OFFSET($H$3,0,0,'Données projet'!$E$12+1,1))</f>
        <v>211.95495599943246</v>
      </c>
      <c r="CE53" s="62">
        <f t="shared" si="40"/>
        <v>270.47407508916842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1.6775734013504069</v>
      </c>
      <c r="CL53" s="23">
        <f>EXP(-LN(2)/25)*CL52+(1-EXP(-LN(2)/25))/(LN(2)/25)*Calculateur!CG53*Calculateur!CI53*VLOOKUP('Données projet'!$B$12,Paramètres!$A$1:$I$89,3,0)*0.475*44/12</f>
        <v>9.8347724285394396</v>
      </c>
      <c r="CM53" s="23">
        <f>EXP(-LN(2)/2)*CM52+(1-EXP(-LN(2)/2))/(LN(2)/2)*CG53*CJ53*VLOOKUP('Données projet'!$B$12,Paramètres!$A$1:$I$89,3,0)*0.475*44/12</f>
        <v>1.2331435813763369E-2</v>
      </c>
      <c r="CN53" s="24">
        <f t="shared" si="12"/>
        <v>11.524677265703609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</v>
      </c>
      <c r="N54" s="14">
        <f>IF('Données projet'!$A$36&gt;35,N53+M54-V53,IF(A54&lt;'Données projet'!$A$36,$K$205^A54,IF(A54='Données projet'!$A$36,'Données projet'!$B$36,N53+M54-V53)))</f>
        <v>607</v>
      </c>
      <c r="O54" s="14">
        <f>N54*VLOOKUP('Données projet'!$B$9,Paramètres!$A$1:$I$89,3,0)*VLOOKUP('Données projet'!$B$9,Paramètres!$A$1:$I$89,5,0)</f>
        <v>339.31299999999999</v>
      </c>
      <c r="P54" s="14">
        <f t="shared" si="33"/>
        <v>79.357991167872044</v>
      </c>
      <c r="Q54" s="22">
        <f t="shared" si="53"/>
        <v>729.18530961737713</v>
      </c>
      <c r="R54" s="62">
        <f t="shared" si="0"/>
        <v>1022.5186429507105</v>
      </c>
      <c r="S54" s="62">
        <f ca="1">AVERAGE(OFFSET($R$3,0,0,'Données projet'!$E$9+1,1))-AVERAGE(OFFSET($H$3,0,0,'Données projet'!$E$9+1,1))</f>
        <v>446.5364328843699</v>
      </c>
      <c r="T54" s="62">
        <f t="shared" si="34"/>
        <v>559.96606361482179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3.6067874663859341</v>
      </c>
      <c r="AA54" s="23">
        <f>EXP(-LN(2)/25)*AA53+(1-EXP(-LN(2)/25))/(LN(2)/25)*Calculateur!V54*Calculateur!X54*VLOOKUP('Données projet'!$B$9,Paramètres!$A$1:$I$89,3,0)*0.475*44/12</f>
        <v>6.0169586099532104</v>
      </c>
      <c r="AB54" s="23">
        <f>EXP(-LN(2)/2)*AB53+(1-EXP(-LN(2)/2))/(LN(2)/2)*V54*Y54*VLOOKUP('Données projet'!$B$9,Paramètres!$A$1:$I$89,3,0)*0.475*44/12</f>
        <v>9.0403725352457935E-3</v>
      </c>
      <c r="AC54" s="24">
        <f t="shared" si="3"/>
        <v>9.6327864488743913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-5.6843418860808015E-14</v>
      </c>
      <c r="AJ54" s="14">
        <f>AI54*VLOOKUP('Données projet'!$B$10,Paramètres!$A$1:$I$89,3,0)*VLOOKUP('Données projet'!$B$10,Paramètres!$A$1:$I$89,5,0)</f>
        <v>-3.1036506698001178E-14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164.0740581424559</v>
      </c>
      <c r="AO54" s="62">
        <f t="shared" si="36"/>
        <v>280.99861170359793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10.814348278787817</v>
      </c>
      <c r="AV54" s="23">
        <f>EXP(-LN(2)/25)*AV53+(1-EXP(-LN(2)/25))/(LN(2)/25)*Calculateur!AQ54*Calculateur!AS54*VLOOKUP('Données projet'!$B$10,Paramètres!$A$1:$I$89,3,0)*0.475*44/12</f>
        <v>21.239393887538622</v>
      </c>
      <c r="AW54" s="23">
        <f>EXP(-LN(2)/2)*AW53+(1-EXP(-LN(2)/2))/(LN(2)/2)*AQ54*AT54*VLOOKUP('Données projet'!$B$10,Paramètres!$A$1:$I$89,3,0)*0.475*44/12</f>
        <v>1.1281163727083526E-2</v>
      </c>
      <c r="AX54" s="23">
        <f t="shared" si="6"/>
        <v>32.065023330053521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7.4444444444444446</v>
      </c>
      <c r="BD54" s="13">
        <f>IF('Données projet'!$A$88&gt;35,BD53+BC54-BL53,IF(A54&lt;'Données projet'!$A$88,$BA$205^A54,IF(A54='Données projet'!$A$88,'Données projet'!$B$88,BD53+BC54-BL53)))</f>
        <v>200.66666666666671</v>
      </c>
      <c r="BE54" s="14">
        <f>BD54*VLOOKUP('Données projet'!$B$11,Paramètres!$A$1:$I$89,3,0)*VLOOKUP('Données projet'!$B$11,Paramètres!$A$1:$I$89,5,0)</f>
        <v>93.91200000000002</v>
      </c>
      <c r="BF54" s="14">
        <f t="shared" si="37"/>
        <v>25.506356157232645</v>
      </c>
      <c r="BG54" s="22">
        <f t="shared" si="7"/>
        <v>207.9869703071802</v>
      </c>
      <c r="BH54" s="62">
        <f t="shared" si="8"/>
        <v>501.32030364051354</v>
      </c>
      <c r="BI54" s="62">
        <f ca="1">AVERAGE(OFFSET($BH$3,0,0,'Données projet'!$E$11+1,1))-AVERAGE(OFFSET($H$3,0,0,'Données projet'!$E$11+1,1))</f>
        <v>90.829393941874685</v>
      </c>
      <c r="BJ54" s="62">
        <f t="shared" si="38"/>
        <v>113.5315547498717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1.9842086725786545</v>
      </c>
      <c r="BQ54" s="23">
        <f>EXP(-LN(2)/25)*BQ53+(1-EXP(-LN(2)/25))/(LN(2)/25)*Calculateur!BL54*Calculateur!BN54*VLOOKUP('Données projet'!$B$11,Paramètres!$A$1:$I$89,3,0)*0.475*44/12</f>
        <v>3.187868651001982</v>
      </c>
      <c r="BR54" s="23">
        <f>EXP(-LN(2)/2)*BR53+(1-EXP(-LN(2)/2))/(LN(2)/2)*BL54*BO54*VLOOKUP('Données projet'!$B$11,Paramètres!$A$1:$I$89,3,0)*0.475*44/12</f>
        <v>1.5981345509292319E-3</v>
      </c>
      <c r="BS54" s="24">
        <f t="shared" si="9"/>
        <v>5.1736754581315658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8.4</v>
      </c>
      <c r="BY54" s="13">
        <f>IF('Données projet'!$A$114&gt;35,BY53+BX54-CG53,IF(A54&lt;'Données projet'!$A$114,$BV$205^A54,IF(A54='Données projet'!$A$114,'Données projet'!$B$114,BY53+BX54-CG53)))</f>
        <v>290.39999999999992</v>
      </c>
      <c r="BZ54" s="14">
        <f>BY54*VLOOKUP('Données projet'!$B$12,Paramètres!$A$1:$I$89,3,0)*VLOOKUP('Données projet'!$B$12,Paramètres!$A$1:$I$89,5,0)</f>
        <v>190.27007999999995</v>
      </c>
      <c r="CA54" s="14">
        <f t="shared" si="39"/>
        <v>47.599658767320413</v>
      </c>
      <c r="CB54" s="22">
        <f t="shared" si="10"/>
        <v>414.28979501974959</v>
      </c>
      <c r="CC54" s="62">
        <f t="shared" si="11"/>
        <v>707.62312835308285</v>
      </c>
      <c r="CD54" s="62">
        <f ca="1">AVERAGE(OFFSET($CC$3,0,0,'Données projet'!$E$12+1,1))-AVERAGE(OFFSET($H$3,0,0,'Données projet'!$E$12+1,1))</f>
        <v>211.95495599943246</v>
      </c>
      <c r="CE54" s="62">
        <f t="shared" si="40"/>
        <v>270.47407508916842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1.6446772101686657</v>
      </c>
      <c r="CL54" s="23">
        <f>EXP(-LN(2)/25)*CL53+(1-EXP(-LN(2)/25))/(LN(2)/25)*Calculateur!CG54*Calculateur!CI54*VLOOKUP('Données projet'!$B$12,Paramètres!$A$1:$I$89,3,0)*0.475*44/12</f>
        <v>9.5658400592928245</v>
      </c>
      <c r="CM54" s="23">
        <f>EXP(-LN(2)/2)*CM53+(1-EXP(-LN(2)/2))/(LN(2)/2)*CG54*CJ54*VLOOKUP('Données projet'!$B$12,Paramètres!$A$1:$I$89,3,0)*0.475*44/12</f>
        <v>8.7196418856787302E-3</v>
      </c>
      <c r="CN54" s="24">
        <f t="shared" si="12"/>
        <v>11.219236911347169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</v>
      </c>
      <c r="N55" s="14">
        <f>IF('Données projet'!$A$36&gt;35,N54+M55-V54,IF(A55&lt;'Données projet'!$A$36,$K$205^A55,IF(A55='Données projet'!$A$36,'Données projet'!$B$36,N54+M55-V54)))</f>
        <v>624</v>
      </c>
      <c r="O55" s="14">
        <f>N55*VLOOKUP('Données projet'!$B$9,Paramètres!$A$1:$I$89,3,0)*VLOOKUP('Données projet'!$B$9,Paramètres!$A$1:$I$89,5,0)</f>
        <v>348.81600000000003</v>
      </c>
      <c r="P55" s="14">
        <f t="shared" si="33"/>
        <v>81.318665281585453</v>
      </c>
      <c r="Q55" s="22">
        <f t="shared" si="53"/>
        <v>749.15120869876137</v>
      </c>
      <c r="R55" s="62">
        <f t="shared" si="0"/>
        <v>1042.4845420320946</v>
      </c>
      <c r="S55" s="62">
        <f ca="1">AVERAGE(OFFSET($R$3,0,0,'Données projet'!$E$9+1,1))-AVERAGE(OFFSET($H$3,0,0,'Données projet'!$E$9+1,1))</f>
        <v>446.5364328843699</v>
      </c>
      <c r="T55" s="62">
        <f t="shared" si="34"/>
        <v>559.96606361482179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3.5360605640932361</v>
      </c>
      <c r="AA55" s="23">
        <f>EXP(-LN(2)/25)*AA54+(1-EXP(-LN(2)/25))/(LN(2)/25)*Calculateur!V55*Calculateur!X55*VLOOKUP('Données projet'!$B$9,Paramètres!$A$1:$I$89,3,0)*0.475*44/12</f>
        <v>5.8524245603459386</v>
      </c>
      <c r="AB55" s="23">
        <f>EXP(-LN(2)/2)*AB54+(1-EXP(-LN(2)/2))/(LN(2)/2)*V55*Y55*VLOOKUP('Données projet'!$B$9,Paramètres!$A$1:$I$89,3,0)*0.475*44/12</f>
        <v>6.3925087241249214E-3</v>
      </c>
      <c r="AC55" s="24">
        <f t="shared" si="3"/>
        <v>9.3948776331632988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-5.6843418860808015E-14</v>
      </c>
      <c r="AJ55" s="14">
        <f>AI55*VLOOKUP('Données projet'!$B$10,Paramètres!$A$1:$I$89,3,0)*VLOOKUP('Données projet'!$B$10,Paramètres!$A$1:$I$89,5,0)</f>
        <v>-3.1036506698001178E-14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164.0740581424559</v>
      </c>
      <c r="AO55" s="62">
        <f t="shared" si="36"/>
        <v>280.99861170359793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10.602285505141927</v>
      </c>
      <c r="AV55" s="23">
        <f>EXP(-LN(2)/25)*AV54+(1-EXP(-LN(2)/25))/(LN(2)/25)*Calculateur!AQ55*Calculateur!AS55*VLOOKUP('Données projet'!$B$10,Paramètres!$A$1:$I$89,3,0)*0.475*44/12</f>
        <v>20.658601544752695</v>
      </c>
      <c r="AW55" s="23">
        <f>EXP(-LN(2)/2)*AW54+(1-EXP(-LN(2)/2))/(LN(2)/2)*AQ55*AT55*VLOOKUP('Données projet'!$B$10,Paramètres!$A$1:$I$89,3,0)*0.475*44/12</f>
        <v>7.9769873710964674E-3</v>
      </c>
      <c r="AX55" s="23">
        <f t="shared" si="6"/>
        <v>31.268864037265718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7.4444444444444446</v>
      </c>
      <c r="BD55" s="13">
        <f>IF('Données projet'!$A$88&gt;35,BD54+BC55-BL54,IF(A55&lt;'Données projet'!$A$88,$BA$205^A55,IF(A55='Données projet'!$A$88,'Données projet'!$B$88,BD54+BC55-BL54)))</f>
        <v>208.11111111111117</v>
      </c>
      <c r="BE55" s="14">
        <f>BD55*VLOOKUP('Données projet'!$B$11,Paramètres!$A$1:$I$89,3,0)*VLOOKUP('Données projet'!$B$11,Paramètres!$A$1:$I$89,5,0)</f>
        <v>97.396000000000029</v>
      </c>
      <c r="BF55" s="14">
        <f t="shared" si="37"/>
        <v>26.340681034624453</v>
      </c>
      <c r="BG55" s="22">
        <f t="shared" si="7"/>
        <v>215.50805280197096</v>
      </c>
      <c r="BH55" s="62">
        <f t="shared" si="8"/>
        <v>508.84138613530428</v>
      </c>
      <c r="BI55" s="62">
        <f ca="1">AVERAGE(OFFSET($BH$3,0,0,'Données projet'!$E$11+1,1))-AVERAGE(OFFSET($H$3,0,0,'Données projet'!$E$11+1,1))</f>
        <v>90.829393941874685</v>
      </c>
      <c r="BJ55" s="62">
        <f t="shared" si="38"/>
        <v>113.5315547498717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1.9452995507571753</v>
      </c>
      <c r="BQ55" s="23">
        <f>EXP(-LN(2)/25)*BQ54+(1-EXP(-LN(2)/25))/(LN(2)/25)*Calculateur!BL55*Calculateur!BN55*VLOOKUP('Données projet'!$B$11,Paramètres!$A$1:$I$89,3,0)*0.475*44/12</f>
        <v>3.1006962150976065</v>
      </c>
      <c r="BR55" s="23">
        <f>EXP(-LN(2)/2)*BR54+(1-EXP(-LN(2)/2))/(LN(2)/2)*BL55*BO55*VLOOKUP('Données projet'!$B$11,Paramètres!$A$1:$I$89,3,0)*0.475*44/12</f>
        <v>1.1300517782105778E-3</v>
      </c>
      <c r="BS55" s="24">
        <f t="shared" si="9"/>
        <v>5.0471258176329927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8.4</v>
      </c>
      <c r="BY55" s="13">
        <f>IF('Données projet'!$A$114&gt;35,BY54+BX55-CG54,IF(A55&lt;'Données projet'!$A$114,$BV$205^A55,IF(A55='Données projet'!$A$114,'Données projet'!$B$114,BY54+BX55-CG54)))</f>
        <v>298.7999999999999</v>
      </c>
      <c r="BZ55" s="14">
        <f>BY55*VLOOKUP('Données projet'!$B$12,Paramètres!$A$1:$I$89,3,0)*VLOOKUP('Données projet'!$B$12,Paramètres!$A$1:$I$89,5,0)</f>
        <v>195.77375999999992</v>
      </c>
      <c r="CA55" s="14">
        <f t="shared" si="39"/>
        <v>48.814216733702644</v>
      </c>
      <c r="CB55" s="22">
        <f t="shared" si="10"/>
        <v>425.99072614453195</v>
      </c>
      <c r="CC55" s="62">
        <f t="shared" si="11"/>
        <v>719.32405947786526</v>
      </c>
      <c r="CD55" s="62">
        <f ca="1">AVERAGE(OFFSET($CC$3,0,0,'Données projet'!$E$12+1,1))-AVERAGE(OFFSET($H$3,0,0,'Données projet'!$E$12+1,1))</f>
        <v>211.95495599943246</v>
      </c>
      <c r="CE55" s="62">
        <f t="shared" si="40"/>
        <v>270.47407508916842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1.6124260932313033</v>
      </c>
      <c r="CL55" s="23">
        <f>EXP(-LN(2)/25)*CL54+(1-EXP(-LN(2)/25))/(LN(2)/25)*Calculateur!CG55*Calculateur!CI55*VLOOKUP('Données projet'!$B$12,Paramètres!$A$1:$I$89,3,0)*0.475*44/12</f>
        <v>9.3042616598257961</v>
      </c>
      <c r="CM55" s="23">
        <f>EXP(-LN(2)/2)*CM54+(1-EXP(-LN(2)/2))/(LN(2)/2)*CG55*CJ55*VLOOKUP('Données projet'!$B$12,Paramètres!$A$1:$I$89,3,0)*0.475*44/12</f>
        <v>6.1657179068816846E-3</v>
      </c>
      <c r="CN55" s="24">
        <f t="shared" si="12"/>
        <v>10.922853470963981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</v>
      </c>
      <c r="N56" s="14">
        <f>IF('Données projet'!$A$36&gt;35,N55+M56-V55,IF(A56&lt;'Données projet'!$A$36,$K$205^A56,IF(A56='Données projet'!$A$36,'Données projet'!$B$36,N55+M56-V55)))</f>
        <v>641</v>
      </c>
      <c r="O56" s="14">
        <f>N56*VLOOKUP('Données projet'!$B$9,Paramètres!$A$1:$I$89,3,0)*VLOOKUP('Données projet'!$B$9,Paramètres!$A$1:$I$89,5,0)</f>
        <v>358.31900000000002</v>
      </c>
      <c r="P56" s="14">
        <f t="shared" si="33"/>
        <v>83.273130832542009</v>
      </c>
      <c r="Q56" s="22">
        <f t="shared" si="53"/>
        <v>769.10629453334388</v>
      </c>
      <c r="R56" s="62">
        <f t="shared" si="0"/>
        <v>1062.4396278666773</v>
      </c>
      <c r="S56" s="62">
        <f ca="1">AVERAGE(OFFSET($R$3,0,0,'Données projet'!$E$9+1,1))-AVERAGE(OFFSET($H$3,0,0,'Données projet'!$E$9+1,1))</f>
        <v>446.5364328843699</v>
      </c>
      <c r="T56" s="62">
        <f t="shared" si="34"/>
        <v>559.96606361482179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3.4667205732153472</v>
      </c>
      <c r="AA56" s="23">
        <f>EXP(-LN(2)/25)*AA55+(1-EXP(-LN(2)/25))/(LN(2)/25)*Calculateur!V56*Calculateur!X56*VLOOKUP('Données projet'!$B$9,Paramètres!$A$1:$I$89,3,0)*0.475*44/12</f>
        <v>5.6923897029776471</v>
      </c>
      <c r="AB56" s="23">
        <f>EXP(-LN(2)/2)*AB55+(1-EXP(-LN(2)/2))/(LN(2)/2)*V56*Y56*VLOOKUP('Données projet'!$B$9,Paramètres!$A$1:$I$89,3,0)*0.475*44/12</f>
        <v>4.5201862676228968E-3</v>
      </c>
      <c r="AC56" s="24">
        <f t="shared" si="3"/>
        <v>9.1636304624606169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-5.6843418860808015E-14</v>
      </c>
      <c r="AJ56" s="14">
        <f>AI56*VLOOKUP('Données projet'!$B$10,Paramètres!$A$1:$I$89,3,0)*VLOOKUP('Données projet'!$B$10,Paramètres!$A$1:$I$89,5,0)</f>
        <v>-3.1036506698001178E-14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164.0740581424559</v>
      </c>
      <c r="AO56" s="62">
        <f t="shared" si="36"/>
        <v>280.99861170359793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10.394381153141712</v>
      </c>
      <c r="AV56" s="23">
        <f>EXP(-LN(2)/25)*AV55+(1-EXP(-LN(2)/25))/(LN(2)/25)*Calculateur!AQ56*Calculateur!AS56*VLOOKUP('Données projet'!$B$10,Paramètres!$A$1:$I$89,3,0)*0.475*44/12</f>
        <v>20.093690999122792</v>
      </c>
      <c r="AW56" s="23">
        <f>EXP(-LN(2)/2)*AW55+(1-EXP(-LN(2)/2))/(LN(2)/2)*AQ56*AT56*VLOOKUP('Données projet'!$B$10,Paramètres!$A$1:$I$89,3,0)*0.475*44/12</f>
        <v>5.6405818635417628E-3</v>
      </c>
      <c r="AX56" s="23">
        <f t="shared" si="6"/>
        <v>30.493712734128046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7.4444444444444446</v>
      </c>
      <c r="BD56" s="13">
        <f>IF('Données projet'!$A$88&gt;35,BD55+BC56-BL55,IF(A56&lt;'Données projet'!$A$88,$BA$205^A56,IF(A56='Données projet'!$A$88,'Données projet'!$B$88,BD55+BC56-BL55)))</f>
        <v>215.55555555555563</v>
      </c>
      <c r="BE56" s="14">
        <f>BD56*VLOOKUP('Données projet'!$B$11,Paramètres!$A$1:$I$89,3,0)*VLOOKUP('Données projet'!$B$11,Paramètres!$A$1:$I$89,5,0)</f>
        <v>100.88000000000004</v>
      </c>
      <c r="BF56" s="14">
        <f t="shared" si="37"/>
        <v>27.171538390191962</v>
      </c>
      <c r="BG56" s="22">
        <f t="shared" si="7"/>
        <v>223.02309602958439</v>
      </c>
      <c r="BH56" s="62">
        <f t="shared" si="8"/>
        <v>516.35642936291765</v>
      </c>
      <c r="BI56" s="62">
        <f ca="1">AVERAGE(OFFSET($BH$3,0,0,'Données projet'!$E$11+1,1))-AVERAGE(OFFSET($H$3,0,0,'Données projet'!$E$11+1,1))</f>
        <v>90.829393941874685</v>
      </c>
      <c r="BJ56" s="62">
        <f t="shared" si="38"/>
        <v>113.5315547498717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1.9071534130823944</v>
      </c>
      <c r="BQ56" s="23">
        <f>EXP(-LN(2)/25)*BQ55+(1-EXP(-LN(2)/25))/(LN(2)/25)*Calculateur!BL56*Calculateur!BN56*VLOOKUP('Données projet'!$B$11,Paramètres!$A$1:$I$89,3,0)*0.475*44/12</f>
        <v>3.0159075140372353</v>
      </c>
      <c r="BR56" s="23">
        <f>EXP(-LN(2)/2)*BR55+(1-EXP(-LN(2)/2))/(LN(2)/2)*BL56*BO56*VLOOKUP('Données projet'!$B$11,Paramètres!$A$1:$I$89,3,0)*0.475*44/12</f>
        <v>7.9906727546461595E-4</v>
      </c>
      <c r="BS56" s="24">
        <f t="shared" si="9"/>
        <v>4.9238599943950945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8.4</v>
      </c>
      <c r="BY56" s="13">
        <f>IF('Données projet'!$A$114&gt;35,BY55+BX56-CG55,IF(A56&lt;'Données projet'!$A$114,$BV$205^A56,IF(A56='Données projet'!$A$114,'Données projet'!$B$114,BY55+BX56-CG55)))</f>
        <v>307.19999999999987</v>
      </c>
      <c r="BZ56" s="14">
        <f>BY56*VLOOKUP('Données projet'!$B$12,Paramètres!$A$1:$I$89,3,0)*VLOOKUP('Données projet'!$B$12,Paramètres!$A$1:$I$89,5,0)</f>
        <v>201.27743999999993</v>
      </c>
      <c r="CA56" s="14">
        <f t="shared" si="39"/>
        <v>50.024806258462775</v>
      </c>
      <c r="CB56" s="22">
        <f t="shared" si="10"/>
        <v>437.68474556682253</v>
      </c>
      <c r="CC56" s="62">
        <f t="shared" si="11"/>
        <v>731.01807890015584</v>
      </c>
      <c r="CD56" s="62">
        <f ca="1">AVERAGE(OFFSET($CC$3,0,0,'Données projet'!$E$12+1,1))-AVERAGE(OFFSET($H$3,0,0,'Données projet'!$E$12+1,1))</f>
        <v>211.95495599943246</v>
      </c>
      <c r="CE56" s="62">
        <f t="shared" si="40"/>
        <v>270.47407508916842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1.5808074010258435</v>
      </c>
      <c r="CL56" s="23">
        <f>EXP(-LN(2)/25)*CL55+(1-EXP(-LN(2)/25))/(LN(2)/25)*Calculateur!CG56*Calculateur!CI56*VLOOKUP('Données projet'!$B$12,Paramètres!$A$1:$I$89,3,0)*0.475*44/12</f>
        <v>9.0498361354480039</v>
      </c>
      <c r="CM56" s="23">
        <f>EXP(-LN(2)/2)*CM55+(1-EXP(-LN(2)/2))/(LN(2)/2)*CG56*CJ56*VLOOKUP('Données projet'!$B$12,Paramètres!$A$1:$I$89,3,0)*0.475*44/12</f>
        <v>4.3598209428393651E-3</v>
      </c>
      <c r="CN56" s="24">
        <f t="shared" si="12"/>
        <v>10.635003357416688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</v>
      </c>
      <c r="N57" s="14">
        <f>IF('Données projet'!$A$36&gt;35,N56+M57-V56,IF(A57&lt;'Données projet'!$A$36,$K$205^A57,IF(A57='Données projet'!$A$36,'Données projet'!$B$36,N56+M57-V56)))</f>
        <v>658</v>
      </c>
      <c r="O57" s="14">
        <f>N57*VLOOKUP('Données projet'!$B$9,Paramètres!$A$1:$I$89,3,0)*VLOOKUP('Données projet'!$B$9,Paramètres!$A$1:$I$89,5,0)</f>
        <v>367.822</v>
      </c>
      <c r="P57" s="14">
        <f t="shared" si="33"/>
        <v>85.221571404689442</v>
      </c>
      <c r="Q57" s="22">
        <f t="shared" si="53"/>
        <v>789.05088686316742</v>
      </c>
      <c r="R57" s="62">
        <f t="shared" si="0"/>
        <v>1082.3842201965008</v>
      </c>
      <c r="S57" s="62">
        <f ca="1">AVERAGE(OFFSET($R$3,0,0,'Données projet'!$E$9+1,1))-AVERAGE(OFFSET($H$3,0,0,'Données projet'!$E$9+1,1))</f>
        <v>446.5364328843699</v>
      </c>
      <c r="T57" s="62">
        <f t="shared" si="34"/>
        <v>559.96606361482179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3.3987402972653551</v>
      </c>
      <c r="AA57" s="23">
        <f>EXP(-LN(2)/25)*AA56+(1-EXP(-LN(2)/25))/(LN(2)/25)*Calculateur!V57*Calculateur!X57*VLOOKUP('Données projet'!$B$9,Paramètres!$A$1:$I$89,3,0)*0.475*44/12</f>
        <v>5.5367310071999594</v>
      </c>
      <c r="AB57" s="23">
        <f>EXP(-LN(2)/2)*AB56+(1-EXP(-LN(2)/2))/(LN(2)/2)*V57*Y57*VLOOKUP('Données projet'!$B$9,Paramètres!$A$1:$I$89,3,0)*0.475*44/12</f>
        <v>3.1962543620624607E-3</v>
      </c>
      <c r="AC57" s="24">
        <f t="shared" si="3"/>
        <v>8.9386675588273778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-5.6843418860808015E-14</v>
      </c>
      <c r="AJ57" s="14">
        <f>AI57*VLOOKUP('Données projet'!$B$10,Paramètres!$A$1:$I$89,3,0)*VLOOKUP('Données projet'!$B$10,Paramètres!$A$1:$I$89,5,0)</f>
        <v>-3.1036506698001178E-14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164.0740581424559</v>
      </c>
      <c r="AO57" s="62">
        <f t="shared" si="36"/>
        <v>280.99861170359793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10.190553678675089</v>
      </c>
      <c r="AV57" s="23">
        <f>EXP(-LN(2)/25)*AV56+(1-EXP(-LN(2)/25))/(LN(2)/25)*Calculateur!AQ57*Calculateur!AS57*VLOOKUP('Données projet'!$B$10,Paramètres!$A$1:$I$89,3,0)*0.475*44/12</f>
        <v>19.544227962070494</v>
      </c>
      <c r="AW57" s="23">
        <f>EXP(-LN(2)/2)*AW56+(1-EXP(-LN(2)/2))/(LN(2)/2)*AQ57*AT57*VLOOKUP('Données projet'!$B$10,Paramètres!$A$1:$I$89,3,0)*0.475*44/12</f>
        <v>3.9884936855482337E-3</v>
      </c>
      <c r="AX57" s="23">
        <f t="shared" si="6"/>
        <v>29.738770134431128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223</v>
      </c>
      <c r="BB57" s="13">
        <f>VLOOKUP(A57,'Données projet'!$A$87:$I$107,9,0)</f>
        <v>7.4444444444444446</v>
      </c>
      <c r="BC57" s="13">
        <f t="array" ref="BC57">INDEX(BB:BB,MIN(IF(ISNUMBER(BB57:BB253),ROW(BB57:BB253),"")))</f>
        <v>7.4444444444444446</v>
      </c>
      <c r="BD57" s="13">
        <f>IF('Données projet'!$A$88&gt;35,BD56+BC57-BL56,IF(A57&lt;'Données projet'!$A$88,$BA$205^A57,IF(A57='Données projet'!$A$88,'Données projet'!$B$88,BD56+BC57-BL56)))</f>
        <v>223.00000000000009</v>
      </c>
      <c r="BE57" s="14">
        <f>BD57*VLOOKUP('Données projet'!$B$11,Paramètres!$A$1:$I$89,3,0)*VLOOKUP('Données projet'!$B$11,Paramètres!$A$1:$I$89,5,0)</f>
        <v>104.36400000000005</v>
      </c>
      <c r="BF57" s="14">
        <f t="shared" si="37"/>
        <v>27.999061703554649</v>
      </c>
      <c r="BG57" s="22">
        <f t="shared" si="7"/>
        <v>230.53233246702442</v>
      </c>
      <c r="BH57" s="62">
        <f t="shared" si="8"/>
        <v>523.86566580035776</v>
      </c>
      <c r="BI57" s="62">
        <f ca="1">AVERAGE(OFFSET($BH$3,0,0,'Données projet'!$E$11+1,1))-AVERAGE(OFFSET($H$3,0,0,'Données projet'!$E$11+1,1))</f>
        <v>90.829393941874685</v>
      </c>
      <c r="BJ57" s="62">
        <f t="shared" si="38"/>
        <v>113.5315547498717</v>
      </c>
      <c r="BK57" s="16">
        <f>IF(ISNA(VLOOKUP(A57,'Données projet'!$A$87:$I$107,3,0)),0,VLOOKUP(A57,'Données projet'!$A$87:$I$107,3,0))</f>
        <v>5</v>
      </c>
      <c r="BL57" s="16">
        <f>IF(ISNA(VLOOKUP(A57,'Données projet'!$A$87:$I$107,4,0)),0,VLOOKUP(A57,'Données projet'!$A$87:$I$107,4,0))</f>
        <v>50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1.8697552979005694</v>
      </c>
      <c r="BQ57" s="23">
        <f>EXP(-LN(2)/25)*BQ56+(1-EXP(-LN(2)/25))/(LN(2)/25)*Calculateur!BL57*Calculateur!BN57*VLOOKUP('Données projet'!$B$11,Paramètres!$A$1:$I$89,3,0)*0.475*44/12</f>
        <v>2.933437364466204</v>
      </c>
      <c r="BR57" s="23">
        <f>EXP(-LN(2)/2)*BR56+(1-EXP(-LN(2)/2))/(LN(2)/2)*BL57*BO57*VLOOKUP('Données projet'!$B$11,Paramètres!$A$1:$I$89,3,0)*0.475*44/12</f>
        <v>5.6502588910528888E-4</v>
      </c>
      <c r="BS57" s="24">
        <f t="shared" si="9"/>
        <v>4.8037576882558781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8.4</v>
      </c>
      <c r="BY57" s="13">
        <f>IF('Données projet'!$A$114&gt;35,BY56+BX57-CG56,IF(A57&lt;'Données projet'!$A$114,$BV$205^A57,IF(A57='Données projet'!$A$114,'Données projet'!$B$114,BY56+BX57-CG56)))</f>
        <v>315.59999999999985</v>
      </c>
      <c r="BZ57" s="14">
        <f>BY57*VLOOKUP('Données projet'!$B$12,Paramètres!$A$1:$I$89,3,0)*VLOOKUP('Données projet'!$B$12,Paramètres!$A$1:$I$89,5,0)</f>
        <v>206.7811199999999</v>
      </c>
      <c r="CA57" s="14">
        <f t="shared" si="39"/>
        <v>51.231548322431593</v>
      </c>
      <c r="CB57" s="22">
        <f t="shared" si="10"/>
        <v>449.37206399490151</v>
      </c>
      <c r="CC57" s="62">
        <f t="shared" si="11"/>
        <v>742.70539732823477</v>
      </c>
      <c r="CD57" s="62">
        <f ca="1">AVERAGE(OFFSET($CC$3,0,0,'Données projet'!$E$12+1,1))-AVERAGE(OFFSET($H$3,0,0,'Données projet'!$E$12+1,1))</f>
        <v>211.95495599943246</v>
      </c>
      <c r="CE57" s="62">
        <f t="shared" si="40"/>
        <v>270.47407508916842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1.5498087320890348</v>
      </c>
      <c r="CL57" s="23">
        <f>EXP(-LN(2)/25)*CL56+(1-EXP(-LN(2)/25))/(LN(2)/25)*Calculateur!CG57*Calculateur!CI57*VLOOKUP('Données projet'!$B$12,Paramètres!$A$1:$I$89,3,0)*0.475*44/12</f>
        <v>8.8023678904139793</v>
      </c>
      <c r="CM57" s="23">
        <f>EXP(-LN(2)/2)*CM56+(1-EXP(-LN(2)/2))/(LN(2)/2)*CG57*CJ57*VLOOKUP('Données projet'!$B$12,Paramètres!$A$1:$I$89,3,0)*0.475*44/12</f>
        <v>3.0828589534408423E-3</v>
      </c>
      <c r="CN57" s="24">
        <f t="shared" si="12"/>
        <v>10.355259481456455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675</v>
      </c>
      <c r="L58" s="13">
        <f>VLOOKUP(A58,'Données projet'!$A$35:$I$55,9,0)</f>
        <v>17</v>
      </c>
      <c r="M58" s="13">
        <f t="array" ref="M58">INDEX(L:L,MIN(IF(ISNUMBER(L58:L254),ROW(L58:L254),"")))</f>
        <v>17</v>
      </c>
      <c r="N58" s="14">
        <f>IF('Données projet'!$A$36&gt;35,N57+M58-V57,IF(A58&lt;'Données projet'!$A$36,$K$205^A58,IF(A58='Données projet'!$A$36,'Données projet'!$B$36,N57+M58-V57)))</f>
        <v>675</v>
      </c>
      <c r="O58" s="14">
        <f>N58*VLOOKUP('Données projet'!$B$9,Paramètres!$A$1:$I$89,3,0)*VLOOKUP('Données projet'!$B$9,Paramètres!$A$1:$I$89,5,0)</f>
        <v>377.32499999999999</v>
      </c>
      <c r="P58" s="14">
        <f t="shared" si="33"/>
        <v>87.164160555496878</v>
      </c>
      <c r="Q58" s="22">
        <f t="shared" si="53"/>
        <v>808.98528796749042</v>
      </c>
      <c r="R58" s="62">
        <f t="shared" si="0"/>
        <v>1102.3186213008237</v>
      </c>
      <c r="S58" s="62">
        <f ca="1">AVERAGE(OFFSET($R$3,0,0,'Données projet'!$E$9+1,1))-AVERAGE(OFFSET($H$3,0,0,'Données projet'!$E$9+1,1))</f>
        <v>446.5364328843699</v>
      </c>
      <c r="T58" s="62">
        <f t="shared" si="34"/>
        <v>559.96606361482179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67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3.3320930730628686</v>
      </c>
      <c r="AA58" s="23">
        <f>EXP(-LN(2)/25)*AA57+(1-EXP(-LN(2)/25))/(LN(2)/25)*Calculateur!V58*Calculateur!X58*VLOOKUP('Données projet'!$B$9,Paramètres!$A$1:$I$89,3,0)*0.475*44/12</f>
        <v>5.385328806644047</v>
      </c>
      <c r="AB58" s="23">
        <f>EXP(-LN(2)/2)*AB57+(1-EXP(-LN(2)/2))/(LN(2)/2)*V58*Y58*VLOOKUP('Données projet'!$B$9,Paramètres!$A$1:$I$89,3,0)*0.475*44/12</f>
        <v>2.2600931338114484E-3</v>
      </c>
      <c r="AC58" s="24">
        <f t="shared" si="3"/>
        <v>8.7196819728407267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-5.6843418860808015E-14</v>
      </c>
      <c r="AJ58" s="14">
        <f>AI58*VLOOKUP('Données projet'!$B$10,Paramètres!$A$1:$I$89,3,0)*VLOOKUP('Données projet'!$B$10,Paramètres!$A$1:$I$89,5,0)</f>
        <v>-3.1036506698001178E-14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164.0740581424559</v>
      </c>
      <c r="AO58" s="62">
        <f t="shared" si="36"/>
        <v>280.99861170359793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9.9907231366602733</v>
      </c>
      <c r="AV58" s="23">
        <f>EXP(-LN(2)/25)*AV57+(1-EXP(-LN(2)/25))/(LN(2)/25)*Calculateur!AQ58*Calculateur!AS58*VLOOKUP('Données projet'!$B$10,Paramètres!$A$1:$I$89,3,0)*0.475*44/12</f>
        <v>19.009790020661395</v>
      </c>
      <c r="AW58" s="23">
        <f>EXP(-LN(2)/2)*AW57+(1-EXP(-LN(2)/2))/(LN(2)/2)*AQ58*AT58*VLOOKUP('Données projet'!$B$10,Paramètres!$A$1:$I$89,3,0)*0.475*44/12</f>
        <v>2.8202909317708814E-3</v>
      </c>
      <c r="AX58" s="23">
        <f t="shared" si="6"/>
        <v>29.003333448253439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181.00000000000009</v>
      </c>
      <c r="BE58" s="14">
        <f>BD58*VLOOKUP('Données projet'!$B$11,Paramètres!$A$1:$I$89,3,0)*VLOOKUP('Données projet'!$B$11,Paramètres!$A$1:$I$89,5,0)</f>
        <v>84.708000000000041</v>
      </c>
      <c r="BF58" s="14">
        <f t="shared" si="37"/>
        <v>23.284455653273707</v>
      </c>
      <c r="BG58" s="22">
        <f t="shared" si="7"/>
        <v>188.08686026278508</v>
      </c>
      <c r="BH58" s="62">
        <f t="shared" si="8"/>
        <v>481.42019359611839</v>
      </c>
      <c r="BI58" s="62">
        <f ca="1">AVERAGE(OFFSET($BH$3,0,0,'Données projet'!$E$11+1,1))-AVERAGE(OFFSET($H$3,0,0,'Données projet'!$E$11+1,1))</f>
        <v>90.829393941874685</v>
      </c>
      <c r="BJ58" s="62">
        <f t="shared" si="38"/>
        <v>113.5315547498717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1.833090536946862</v>
      </c>
      <c r="BQ58" s="23">
        <f>EXP(-LN(2)/25)*BQ57+(1-EXP(-LN(2)/25))/(LN(2)/25)*Calculateur!BL58*Calculateur!BN58*VLOOKUP('Données projet'!$B$11,Paramètres!$A$1:$I$89,3,0)*0.475*44/12</f>
        <v>2.8532223654721092</v>
      </c>
      <c r="BR58" s="23">
        <f>EXP(-LN(2)/2)*BR57+(1-EXP(-LN(2)/2))/(LN(2)/2)*BL58*BO58*VLOOKUP('Données projet'!$B$11,Paramètres!$A$1:$I$89,3,0)*0.475*44/12</f>
        <v>3.9953363773230797E-4</v>
      </c>
      <c r="BS58" s="24">
        <f t="shared" si="9"/>
        <v>4.6867124360567027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324</v>
      </c>
      <c r="BW58" s="13">
        <f>VLOOKUP(A58,'Données projet'!$A$113:$I$133,9,0)</f>
        <v>8.4</v>
      </c>
      <c r="BX58" s="13">
        <f t="array" ref="BX58">INDEX(BW:BW,MIN(IF(ISNUMBER(BW58:BW254),ROW(BW58:BW254),"")))</f>
        <v>8.4</v>
      </c>
      <c r="BY58" s="13">
        <f>IF('Données projet'!$A$114&gt;35,BY57+BX58-CG57,IF(A58&lt;'Données projet'!$A$114,$BV$205^A58,IF(A58='Données projet'!$A$114,'Données projet'!$B$114,BY57+BX58-CG57)))</f>
        <v>323.99999999999983</v>
      </c>
      <c r="BZ58" s="14">
        <f>BY58*VLOOKUP('Données projet'!$B$12,Paramètres!$A$1:$I$89,3,0)*VLOOKUP('Données projet'!$B$12,Paramètres!$A$1:$I$89,5,0)</f>
        <v>212.2847999999999</v>
      </c>
      <c r="CA58" s="14">
        <f t="shared" si="39"/>
        <v>52.434557099704143</v>
      </c>
      <c r="CB58" s="22">
        <f t="shared" si="10"/>
        <v>461.05288028198453</v>
      </c>
      <c r="CC58" s="62">
        <f t="shared" si="11"/>
        <v>754.38621361531784</v>
      </c>
      <c r="CD58" s="62">
        <f ca="1">AVERAGE(OFFSET($CC$3,0,0,'Données projet'!$E$12+1,1))-AVERAGE(OFFSET($H$3,0,0,'Données projet'!$E$12+1,1))</f>
        <v>211.95495599943246</v>
      </c>
      <c r="CE58" s="62">
        <f t="shared" si="40"/>
        <v>270.47407508916842</v>
      </c>
      <c r="CF58" s="16">
        <f>IF(ISNA(VLOOKUP(A58,'Données projet'!$A$113:$I$133,3,0)),0,VLOOKUP(A58,'Données projet'!$A$113:$I$133,3,0))</f>
        <v>10</v>
      </c>
      <c r="CG58" s="16">
        <f>IF(ISNA(VLOOKUP(A58,'Données projet'!$A$113:$I$133,4,0)),0,VLOOKUP(A58,'Données projet'!$A$113:$I$133,4,0))</f>
        <v>18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1.5194179281427558</v>
      </c>
      <c r="CL58" s="23">
        <f>EXP(-LN(2)/25)*CL57+(1-EXP(-LN(2)/25))/(LN(2)/25)*Calculateur!CG58*Calculateur!CI58*VLOOKUP('Données projet'!$B$12,Paramètres!$A$1:$I$89,3,0)*0.475*44/12</f>
        <v>8.5616666775542001</v>
      </c>
      <c r="CM58" s="23">
        <f>EXP(-LN(2)/2)*CM57+(1-EXP(-LN(2)/2))/(LN(2)/2)*CG58*CJ58*VLOOKUP('Données projet'!$B$12,Paramètres!$A$1:$I$89,3,0)*0.475*44/12</f>
        <v>2.1799104714196826E-3</v>
      </c>
      <c r="CN58" s="24">
        <f t="shared" si="12"/>
        <v>10.083264516168375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15.8</v>
      </c>
      <c r="N59" s="14">
        <f>IF('Données projet'!$A$36&gt;35,N58+M59-V58,IF(A59&lt;'Données projet'!$A$36,$K$205^A59,IF(A59='Données projet'!$A$36,'Données projet'!$B$36,N58+M59-V58)))</f>
        <v>623.79999999999995</v>
      </c>
      <c r="O59" s="14">
        <f>N59*VLOOKUP('Données projet'!$B$9,Paramètres!$A$1:$I$89,3,0)*VLOOKUP('Données projet'!$B$9,Paramètres!$A$1:$I$89,5,0)</f>
        <v>348.70420000000001</v>
      </c>
      <c r="P59" s="14">
        <f t="shared" si="33"/>
        <v>81.295634988912099</v>
      </c>
      <c r="Q59" s="22">
        <f t="shared" si="53"/>
        <v>748.91637927235524</v>
      </c>
      <c r="R59" s="62">
        <f t="shared" si="0"/>
        <v>1042.2497126056885</v>
      </c>
      <c r="S59" s="62">
        <f ca="1">AVERAGE(OFFSET($R$3,0,0,'Données projet'!$E$9+1,1))-AVERAGE(OFFSET($H$3,0,0,'Données projet'!$E$9+1,1))</f>
        <v>446.5364328843699</v>
      </c>
      <c r="T59" s="62">
        <f t="shared" si="34"/>
        <v>559.96606361482179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3.2667527602761997</v>
      </c>
      <c r="AA59" s="23">
        <f>EXP(-LN(2)/25)*AA58+(1-EXP(-LN(2)/25))/(LN(2)/25)*Calculateur!V59*Calculateur!X59*VLOOKUP('Données projet'!$B$9,Paramètres!$A$1:$I$89,3,0)*0.475*44/12</f>
        <v>5.238066707224232</v>
      </c>
      <c r="AB59" s="23">
        <f>EXP(-LN(2)/2)*AB58+(1-EXP(-LN(2)/2))/(LN(2)/2)*V59*Y59*VLOOKUP('Données projet'!$B$9,Paramètres!$A$1:$I$89,3,0)*0.475*44/12</f>
        <v>1.5981271810312303E-3</v>
      </c>
      <c r="AC59" s="24">
        <f t="shared" si="3"/>
        <v>8.506417594681464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-3.1036506698001178E-14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164.0740581424559</v>
      </c>
      <c r="AO59" s="62">
        <f t="shared" si="36"/>
        <v>280.99861170359793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9.7948111496897727</v>
      </c>
      <c r="AV59" s="23">
        <f>EXP(-LN(2)/25)*AV58+(1-EXP(-LN(2)/25))/(LN(2)/25)*Calculateur!AQ59*Calculateur!AS59*VLOOKUP('Données projet'!$B$10,Paramètres!$A$1:$I$89,3,0)*0.475*44/12</f>
        <v>18.489966312865</v>
      </c>
      <c r="AW59" s="23">
        <f>EXP(-LN(2)/2)*AW58+(1-EXP(-LN(2)/2))/(LN(2)/2)*AQ59*AT59*VLOOKUP('Données projet'!$B$10,Paramètres!$A$1:$I$89,3,0)*0.475*44/12</f>
        <v>1.9942468427741169E-3</v>
      </c>
      <c r="AX59" s="23">
        <f t="shared" si="6"/>
        <v>28.286771709397545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</v>
      </c>
      <c r="BD59" s="13">
        <f>IF('Données projet'!$A$88&gt;35,BD58+BC59-BL58,IF(A59&lt;'Données projet'!$A$88,$BA$205^A59,IF(A59='Données projet'!$A$88,'Données projet'!$B$88,BD58+BC59-BL58)))</f>
        <v>189.00000000000009</v>
      </c>
      <c r="BE59" s="14">
        <f>BD59*VLOOKUP('Données projet'!$B$11,Paramètres!$A$1:$I$89,3,0)*VLOOKUP('Données projet'!$B$11,Paramètres!$A$1:$I$89,5,0)</f>
        <v>88.452000000000055</v>
      </c>
      <c r="BF59" s="14">
        <f t="shared" si="37"/>
        <v>24.191508526943977</v>
      </c>
      <c r="BG59" s="22">
        <f t="shared" si="7"/>
        <v>196.18744401776087</v>
      </c>
      <c r="BH59" s="62">
        <f t="shared" si="8"/>
        <v>489.52077735109418</v>
      </c>
      <c r="BI59" s="62">
        <f ca="1">AVERAGE(OFFSET($BH$3,0,0,'Données projet'!$E$11+1,1))-AVERAGE(OFFSET($H$3,0,0,'Données projet'!$E$11+1,1))</f>
        <v>90.829393941874685</v>
      </c>
      <c r="BJ59" s="62">
        <f t="shared" si="38"/>
        <v>113.5315547498717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1.7971447495921609</v>
      </c>
      <c r="BQ59" s="23">
        <f>EXP(-LN(2)/25)*BQ58+(1-EXP(-LN(2)/25))/(LN(2)/25)*Calculateur!BL59*Calculateur!BN59*VLOOKUP('Données projet'!$B$11,Paramètres!$A$1:$I$89,3,0)*0.475*44/12</f>
        <v>2.7752008498438312</v>
      </c>
      <c r="BR59" s="23">
        <f>EXP(-LN(2)/2)*BR58+(1-EXP(-LN(2)/2))/(LN(2)/2)*BL59*BO59*VLOOKUP('Données projet'!$B$11,Paramètres!$A$1:$I$89,3,0)*0.475*44/12</f>
        <v>2.8251294455264444E-4</v>
      </c>
      <c r="BS59" s="24">
        <f t="shared" si="9"/>
        <v>4.5726281123805448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7.2</v>
      </c>
      <c r="BY59" s="13">
        <f>IF('Données projet'!$A$114&gt;35,BY58+BX59-CG58,IF(A59&lt;'Données projet'!$A$114,$BV$205^A59,IF(A59='Données projet'!$A$114,'Données projet'!$B$114,BY58+BX59-CG58)))</f>
        <v>313.19999999999982</v>
      </c>
      <c r="BZ59" s="14">
        <f>BY59*VLOOKUP('Données projet'!$B$12,Paramètres!$A$1:$I$89,3,0)*VLOOKUP('Données projet'!$B$12,Paramètres!$A$1:$I$89,5,0)</f>
        <v>205.20863999999989</v>
      </c>
      <c r="CA59" s="14">
        <f t="shared" si="39"/>
        <v>50.887150694493549</v>
      </c>
      <c r="CB59" s="22">
        <f t="shared" si="10"/>
        <v>446.03350212624269</v>
      </c>
      <c r="CC59" s="62">
        <f t="shared" si="11"/>
        <v>739.36683545957601</v>
      </c>
      <c r="CD59" s="62">
        <f ca="1">AVERAGE(OFFSET($CC$3,0,0,'Données projet'!$E$12+1,1))-AVERAGE(OFFSET($H$3,0,0,'Données projet'!$E$12+1,1))</f>
        <v>211.95495599943246</v>
      </c>
      <c r="CE59" s="62">
        <f t="shared" si="40"/>
        <v>270.47407508916842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1.4896230693253032</v>
      </c>
      <c r="CL59" s="23">
        <f>EXP(-LN(2)/25)*CL58+(1-EXP(-LN(2)/25))/(LN(2)/25)*Calculateur!CG59*Calculateur!CI59*VLOOKUP('Données projet'!$B$12,Paramètres!$A$1:$I$89,3,0)*0.475*44/12</f>
        <v>8.3275474520179973</v>
      </c>
      <c r="CM59" s="23">
        <f>EXP(-LN(2)/2)*CM58+(1-EXP(-LN(2)/2))/(LN(2)/2)*CG59*CJ59*VLOOKUP('Données projet'!$B$12,Paramètres!$A$1:$I$89,3,0)*0.475*44/12</f>
        <v>1.5414294767204211E-3</v>
      </c>
      <c r="CN59" s="24">
        <f t="shared" si="12"/>
        <v>9.8187119508200205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15.8</v>
      </c>
      <c r="N60" s="14">
        <f>IF('Données projet'!$A$36&gt;35,N59+M60-V59,IF(A60&lt;'Données projet'!$A$36,$K$205^A60,IF(A60='Données projet'!$A$36,'Données projet'!$B$36,N59+M60-V59)))</f>
        <v>639.59999999999991</v>
      </c>
      <c r="O60" s="14">
        <f>N60*VLOOKUP('Données projet'!$B$9,Paramètres!$A$1:$I$89,3,0)*VLOOKUP('Données projet'!$B$9,Paramètres!$A$1:$I$89,5,0)</f>
        <v>357.53639999999996</v>
      </c>
      <c r="P60" s="14">
        <f t="shared" si="33"/>
        <v>83.112404937533981</v>
      </c>
      <c r="Q60" s="22">
        <f t="shared" si="53"/>
        <v>767.46333526620492</v>
      </c>
      <c r="R60" s="62">
        <f t="shared" si="0"/>
        <v>1060.7966685995382</v>
      </c>
      <c r="S60" s="62">
        <f ca="1">AVERAGE(OFFSET($R$3,0,0,'Données projet'!$E$9+1,1))-AVERAGE(OFFSET($H$3,0,0,'Données projet'!$E$9+1,1))</f>
        <v>446.5364328843699</v>
      </c>
      <c r="T60" s="62">
        <f t="shared" si="34"/>
        <v>559.96606361482179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3.2026937311696217</v>
      </c>
      <c r="AA60" s="23">
        <f>EXP(-LN(2)/25)*AA59+(1-EXP(-LN(2)/25))/(LN(2)/25)*Calculateur!V60*Calculateur!X60*VLOOKUP('Données projet'!$B$9,Paramètres!$A$1:$I$89,3,0)*0.475*44/12</f>
        <v>5.0948314976572293</v>
      </c>
      <c r="AB60" s="23">
        <f>EXP(-LN(2)/2)*AB59+(1-EXP(-LN(2)/2))/(LN(2)/2)*V60*Y60*VLOOKUP('Données projet'!$B$9,Paramètres!$A$1:$I$89,3,0)*0.475*44/12</f>
        <v>1.1300465669057242E-3</v>
      </c>
      <c r="AC60" s="24">
        <f t="shared" si="3"/>
        <v>8.2986552753937559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-3.1036506698001178E-14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164.0740581424559</v>
      </c>
      <c r="AO60" s="62">
        <f t="shared" si="36"/>
        <v>280.99861170359793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9.60274087728925</v>
      </c>
      <c r="AV60" s="23">
        <f>EXP(-LN(2)/25)*AV59+(1-EXP(-LN(2)/25))/(LN(2)/25)*Calculateur!AQ60*Calculateur!AS60*VLOOKUP('Données projet'!$B$10,Paramètres!$A$1:$I$89,3,0)*0.475*44/12</f>
        <v>17.98435721169464</v>
      </c>
      <c r="AW60" s="23">
        <f>EXP(-LN(2)/2)*AW59+(1-EXP(-LN(2)/2))/(LN(2)/2)*AQ60*AT60*VLOOKUP('Données projet'!$B$10,Paramètres!$A$1:$I$89,3,0)*0.475*44/12</f>
        <v>1.4101454658854407E-3</v>
      </c>
      <c r="AX60" s="23">
        <f t="shared" si="6"/>
        <v>27.588508234449776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</v>
      </c>
      <c r="BD60" s="13">
        <f>IF('Données projet'!$A$88&gt;35,BD59+BC60-BL59,IF(A60&lt;'Données projet'!$A$88,$BA$205^A60,IF(A60='Données projet'!$A$88,'Données projet'!$B$88,BD59+BC60-BL59)))</f>
        <v>197.00000000000009</v>
      </c>
      <c r="BE60" s="14">
        <f>BD60*VLOOKUP('Données projet'!$B$11,Paramètres!$A$1:$I$89,3,0)*VLOOKUP('Données projet'!$B$11,Paramètres!$A$1:$I$89,5,0)</f>
        <v>92.196000000000041</v>
      </c>
      <c r="BF60" s="14">
        <f t="shared" si="37"/>
        <v>25.09410195059451</v>
      </c>
      <c r="BG60" s="22">
        <f t="shared" si="7"/>
        <v>204.2802608972855</v>
      </c>
      <c r="BH60" s="62">
        <f t="shared" si="8"/>
        <v>497.61359423061879</v>
      </c>
      <c r="BI60" s="62">
        <f ca="1">AVERAGE(OFFSET($BH$3,0,0,'Données projet'!$E$11+1,1))-AVERAGE(OFFSET($H$3,0,0,'Données projet'!$E$11+1,1))</f>
        <v>90.829393941874685</v>
      </c>
      <c r="BJ60" s="62">
        <f t="shared" si="38"/>
        <v>113.5315547498717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1.76190383720272</v>
      </c>
      <c r="BQ60" s="23">
        <f>EXP(-LN(2)/25)*BQ59+(1-EXP(-LN(2)/25))/(LN(2)/25)*Calculateur!BL60*Calculateur!BN60*VLOOKUP('Données projet'!$B$11,Paramètres!$A$1:$I$89,3,0)*0.475*44/12</f>
        <v>2.6993128366633816</v>
      </c>
      <c r="BR60" s="23">
        <f>EXP(-LN(2)/2)*BR59+(1-EXP(-LN(2)/2))/(LN(2)/2)*BL60*BO60*VLOOKUP('Données projet'!$B$11,Paramètres!$A$1:$I$89,3,0)*0.475*44/12</f>
        <v>1.9976681886615399E-4</v>
      </c>
      <c r="BS60" s="24">
        <f t="shared" si="9"/>
        <v>4.4614164406849683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7.2</v>
      </c>
      <c r="BY60" s="13">
        <f>IF('Données projet'!$A$114&gt;35,BY59+BX60-CG59,IF(A60&lt;'Données projet'!$A$114,$BV$205^A60,IF(A60='Données projet'!$A$114,'Données projet'!$B$114,BY59+BX60-CG59)))</f>
        <v>320.39999999999981</v>
      </c>
      <c r="BZ60" s="14">
        <f>BY60*VLOOKUP('Données projet'!$B$12,Paramètres!$A$1:$I$89,3,0)*VLOOKUP('Données projet'!$B$12,Paramètres!$A$1:$I$89,5,0)</f>
        <v>209.9260799999999</v>
      </c>
      <c r="CA60" s="14">
        <f t="shared" si="39"/>
        <v>51.919431987532832</v>
      </c>
      <c r="CB60" s="22">
        <f t="shared" si="10"/>
        <v>456.04760004495284</v>
      </c>
      <c r="CC60" s="62">
        <f t="shared" si="11"/>
        <v>749.38093337828616</v>
      </c>
      <c r="CD60" s="62">
        <f ca="1">AVERAGE(OFFSET($CC$3,0,0,'Données projet'!$E$12+1,1))-AVERAGE(OFFSET($H$3,0,0,'Données projet'!$E$12+1,1))</f>
        <v>211.95495599943246</v>
      </c>
      <c r="CE60" s="62">
        <f t="shared" si="40"/>
        <v>270.47407508916842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1.4604124695161915</v>
      </c>
      <c r="CL60" s="23">
        <f>EXP(-LN(2)/25)*CL59+(1-EXP(-LN(2)/25))/(LN(2)/25)*Calculateur!CG60*Calculateur!CI60*VLOOKUP('Données projet'!$B$12,Paramètres!$A$1:$I$89,3,0)*0.475*44/12</f>
        <v>8.0998302290158772</v>
      </c>
      <c r="CM60" s="23">
        <f>EXP(-LN(2)/2)*CM59+(1-EXP(-LN(2)/2))/(LN(2)/2)*CG60*CJ60*VLOOKUP('Données projet'!$B$12,Paramètres!$A$1:$I$89,3,0)*0.475*44/12</f>
        <v>1.0899552357098413E-3</v>
      </c>
      <c r="CN60" s="24">
        <f t="shared" si="12"/>
        <v>9.5613326537677779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15.8</v>
      </c>
      <c r="N61" s="14">
        <f>IF('Données projet'!$A$36&gt;35,N60+M61-V60,IF(A61&lt;'Données projet'!$A$36,$K$205^A61,IF(A61='Données projet'!$A$36,'Données projet'!$B$36,N60+M61-V60)))</f>
        <v>655.39999999999986</v>
      </c>
      <c r="O61" s="14">
        <f>N61*VLOOKUP('Données projet'!$B$9,Paramètres!$A$1:$I$89,3,0)*VLOOKUP('Données projet'!$B$9,Paramètres!$A$1:$I$89,5,0)</f>
        <v>366.36859999999996</v>
      </c>
      <c r="P61" s="14">
        <f t="shared" si="33"/>
        <v>84.923957848244868</v>
      </c>
      <c r="Q61" s="22">
        <f t="shared" si="53"/>
        <v>786.00120491902635</v>
      </c>
      <c r="R61" s="62">
        <f t="shared" si="0"/>
        <v>1079.3345382523596</v>
      </c>
      <c r="S61" s="62">
        <f ca="1">AVERAGE(OFFSET($R$3,0,0,'Données projet'!$E$9+1,1))-AVERAGE(OFFSET($H$3,0,0,'Données projet'!$E$9+1,1))</f>
        <v>446.5364328843699</v>
      </c>
      <c r="T61" s="62">
        <f t="shared" si="34"/>
        <v>559.96606361482179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3.1398908605516742</v>
      </c>
      <c r="AA61" s="23">
        <f>EXP(-LN(2)/25)*AA60+(1-EXP(-LN(2)/25))/(LN(2)/25)*Calculateur!V61*Calculateur!X61*VLOOKUP('Données projet'!$B$9,Paramètres!$A$1:$I$89,3,0)*0.475*44/12</f>
        <v>4.9555130624282482</v>
      </c>
      <c r="AB61" s="23">
        <f>EXP(-LN(2)/2)*AB60+(1-EXP(-LN(2)/2))/(LN(2)/2)*V61*Y61*VLOOKUP('Données projet'!$B$9,Paramètres!$A$1:$I$89,3,0)*0.475*44/12</f>
        <v>7.9906359051561517E-4</v>
      </c>
      <c r="AC61" s="24">
        <f t="shared" si="3"/>
        <v>8.0962029865704377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-3.1036506698001178E-14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164.0740581424559</v>
      </c>
      <c r="AO61" s="62">
        <f t="shared" si="36"/>
        <v>280.99861170359793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9.4144369857792025</v>
      </c>
      <c r="AV61" s="23">
        <f>EXP(-LN(2)/25)*AV60+(1-EXP(-LN(2)/25))/(LN(2)/25)*Calculateur!AQ61*Calculateur!AS61*VLOOKUP('Données projet'!$B$10,Paramètres!$A$1:$I$89,3,0)*0.475*44/12</f>
        <v>17.492574017984609</v>
      </c>
      <c r="AW61" s="23">
        <f>EXP(-LN(2)/2)*AW60+(1-EXP(-LN(2)/2))/(LN(2)/2)*AQ61*AT61*VLOOKUP('Données projet'!$B$10,Paramètres!$A$1:$I$89,3,0)*0.475*44/12</f>
        <v>9.9712342138705843E-4</v>
      </c>
      <c r="AX61" s="23">
        <f t="shared" si="6"/>
        <v>26.908008127185202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</v>
      </c>
      <c r="BD61" s="13">
        <f>IF('Données projet'!$A$88&gt;35,BD60+BC61-BL60,IF(A61&lt;'Données projet'!$A$88,$BA$205^A61,IF(A61='Données projet'!$A$88,'Données projet'!$B$88,BD60+BC61-BL60)))</f>
        <v>205.00000000000009</v>
      </c>
      <c r="BE61" s="14">
        <f>BD61*VLOOKUP('Données projet'!$B$11,Paramètres!$A$1:$I$89,3,0)*VLOOKUP('Données projet'!$B$11,Paramètres!$A$1:$I$89,5,0)</f>
        <v>95.94000000000004</v>
      </c>
      <c r="BF61" s="14">
        <f t="shared" si="37"/>
        <v>25.992437734025188</v>
      </c>
      <c r="BG61" s="22">
        <f t="shared" si="7"/>
        <v>212.36566238676059</v>
      </c>
      <c r="BH61" s="62">
        <f t="shared" si="8"/>
        <v>505.69899572009388</v>
      </c>
      <c r="BI61" s="62">
        <f ca="1">AVERAGE(OFFSET($BH$3,0,0,'Données projet'!$E$11+1,1))-AVERAGE(OFFSET($H$3,0,0,'Données projet'!$E$11+1,1))</f>
        <v>90.829393941874685</v>
      </c>
      <c r="BJ61" s="62">
        <f t="shared" si="38"/>
        <v>113.5315547498717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1.7273539776104021</v>
      </c>
      <c r="BQ61" s="23">
        <f>EXP(-LN(2)/25)*BQ60+(1-EXP(-LN(2)/25))/(LN(2)/25)*Calculateur!BL61*Calculateur!BN61*VLOOKUP('Données projet'!$B$11,Paramètres!$A$1:$I$89,3,0)*0.475*44/12</f>
        <v>2.6254999851941285</v>
      </c>
      <c r="BR61" s="23">
        <f>EXP(-LN(2)/2)*BR60+(1-EXP(-LN(2)/2))/(LN(2)/2)*BL61*BO61*VLOOKUP('Données projet'!$B$11,Paramètres!$A$1:$I$89,3,0)*0.475*44/12</f>
        <v>1.4125647227632222E-4</v>
      </c>
      <c r="BS61" s="24">
        <f t="shared" si="9"/>
        <v>4.3529952192768073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7.2</v>
      </c>
      <c r="BY61" s="13">
        <f>IF('Données projet'!$A$114&gt;35,BY60+BX61-CG60,IF(A61&lt;'Données projet'!$A$114,$BV$205^A61,IF(A61='Données projet'!$A$114,'Données projet'!$B$114,BY60+BX61-CG60)))</f>
        <v>327.5999999999998</v>
      </c>
      <c r="BZ61" s="14">
        <f>BY61*VLOOKUP('Données projet'!$B$12,Paramètres!$A$1:$I$89,3,0)*VLOOKUP('Données projet'!$B$12,Paramètres!$A$1:$I$89,5,0)</f>
        <v>214.64351999999985</v>
      </c>
      <c r="CA61" s="14">
        <f t="shared" si="39"/>
        <v>52.949016399550864</v>
      </c>
      <c r="CB61" s="22">
        <f t="shared" si="10"/>
        <v>466.05700089588419</v>
      </c>
      <c r="CC61" s="62">
        <f t="shared" si="11"/>
        <v>759.3903342292175</v>
      </c>
      <c r="CD61" s="62">
        <f ca="1">AVERAGE(OFFSET($CC$3,0,0,'Données projet'!$E$12+1,1))-AVERAGE(OFFSET($H$3,0,0,'Données projet'!$E$12+1,1))</f>
        <v>211.95495599943246</v>
      </c>
      <c r="CE61" s="62">
        <f t="shared" si="40"/>
        <v>270.47407508916842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1.4317746717526298</v>
      </c>
      <c r="CL61" s="23">
        <f>EXP(-LN(2)/25)*CL60+(1-EXP(-LN(2)/25))/(LN(2)/25)*Calculateur!CG61*Calculateur!CI61*VLOOKUP('Données projet'!$B$12,Paramètres!$A$1:$I$89,3,0)*0.475*44/12</f>
        <v>7.878339945451879</v>
      </c>
      <c r="CM61" s="23">
        <f>EXP(-LN(2)/2)*CM60+(1-EXP(-LN(2)/2))/(LN(2)/2)*CG61*CJ61*VLOOKUP('Données projet'!$B$12,Paramètres!$A$1:$I$89,3,0)*0.475*44/12</f>
        <v>7.7071473836021057E-4</v>
      </c>
      <c r="CN61" s="24">
        <f t="shared" si="12"/>
        <v>9.3108853319428686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15.8</v>
      </c>
      <c r="N62" s="14">
        <f>IF('Données projet'!$A$36&gt;35,N61+M62-V61,IF(A62&lt;'Données projet'!$A$36,$K$205^A62,IF(A62='Données projet'!$A$36,'Données projet'!$B$36,N61+M62-V61)))</f>
        <v>671.19999999999982</v>
      </c>
      <c r="O62" s="14">
        <f>N62*VLOOKUP('Données projet'!$B$9,Paramètres!$A$1:$I$89,3,0)*VLOOKUP('Données projet'!$B$9,Paramètres!$A$1:$I$89,5,0)</f>
        <v>375.2007999999999</v>
      </c>
      <c r="P62" s="14">
        <f t="shared" si="33"/>
        <v>86.730433960542896</v>
      </c>
      <c r="Q62" s="22">
        <f t="shared" si="53"/>
        <v>804.53023248127863</v>
      </c>
      <c r="R62" s="62">
        <f t="shared" si="0"/>
        <v>1097.863565814612</v>
      </c>
      <c r="S62" s="62">
        <f ca="1">AVERAGE(OFFSET($R$3,0,0,'Données projet'!$E$9+1,1))-AVERAGE(OFFSET($H$3,0,0,'Données projet'!$E$9+1,1))</f>
        <v>446.5364328843699</v>
      </c>
      <c r="T62" s="62">
        <f t="shared" si="34"/>
        <v>559.96606361482179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3.0783195159205761</v>
      </c>
      <c r="AA62" s="23">
        <f>EXP(-LN(2)/25)*AA61+(1-EXP(-LN(2)/25))/(LN(2)/25)*Calculateur!V62*Calculateur!X62*VLOOKUP('Données projet'!$B$9,Paramètres!$A$1:$I$89,3,0)*0.475*44/12</f>
        <v>4.820004297137042</v>
      </c>
      <c r="AB62" s="23">
        <f>EXP(-LN(2)/2)*AB61+(1-EXP(-LN(2)/2))/(LN(2)/2)*V62*Y62*VLOOKUP('Données projet'!$B$9,Paramètres!$A$1:$I$89,3,0)*0.475*44/12</f>
        <v>5.6502328345286209E-4</v>
      </c>
      <c r="AC62" s="24">
        <f t="shared" si="3"/>
        <v>7.8988888363410705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-3.1036506698001178E-14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164.0740581424559</v>
      </c>
      <c r="AO62" s="62">
        <f t="shared" si="36"/>
        <v>280.99861170359793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9.2298256187276344</v>
      </c>
      <c r="AV62" s="23">
        <f>EXP(-LN(2)/25)*AV61+(1-EXP(-LN(2)/25))/(LN(2)/25)*Calculateur!AQ62*Calculateur!AS62*VLOOKUP('Données projet'!$B$10,Paramètres!$A$1:$I$89,3,0)*0.475*44/12</f>
        <v>17.014238661568331</v>
      </c>
      <c r="AW62" s="23">
        <f>EXP(-LN(2)/2)*AW61+(1-EXP(-LN(2)/2))/(LN(2)/2)*AQ62*AT62*VLOOKUP('Données projet'!$B$10,Paramètres!$A$1:$I$89,3,0)*0.475*44/12</f>
        <v>7.0507273294272035E-4</v>
      </c>
      <c r="AX62" s="23">
        <f t="shared" si="6"/>
        <v>26.244769353028907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</v>
      </c>
      <c r="BD62" s="13">
        <f>IF('Données projet'!$A$88&gt;35,BD61+BC62-BL61,IF(A62&lt;'Données projet'!$A$88,$BA$205^A62,IF(A62='Données projet'!$A$88,'Données projet'!$B$88,BD61+BC62-BL61)))</f>
        <v>213.00000000000009</v>
      </c>
      <c r="BE62" s="14">
        <f>BD62*VLOOKUP('Données projet'!$B$11,Paramètres!$A$1:$I$89,3,0)*VLOOKUP('Données projet'!$B$11,Paramètres!$A$1:$I$89,5,0)</f>
        <v>99.684000000000026</v>
      </c>
      <c r="BF62" s="14">
        <f t="shared" si="37"/>
        <v>26.886701044194457</v>
      </c>
      <c r="BG62" s="22">
        <f t="shared" si="7"/>
        <v>220.44397098530536</v>
      </c>
      <c r="BH62" s="62">
        <f t="shared" si="8"/>
        <v>513.7773043186387</v>
      </c>
      <c r="BI62" s="62">
        <f ca="1">AVERAGE(OFFSET($BH$3,0,0,'Données projet'!$E$11+1,1))-AVERAGE(OFFSET($H$3,0,0,'Données projet'!$E$11+1,1))</f>
        <v>90.829393941874685</v>
      </c>
      <c r="BJ62" s="62">
        <f t="shared" si="38"/>
        <v>113.5315547498717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1.6934816196913558</v>
      </c>
      <c r="BQ62" s="23">
        <f>EXP(-LN(2)/25)*BQ61+(1-EXP(-LN(2)/25))/(LN(2)/25)*Calculateur!BL62*Calculateur!BN62*VLOOKUP('Données projet'!$B$11,Paramètres!$A$1:$I$89,3,0)*0.475*44/12</f>
        <v>2.5537055500299517</v>
      </c>
      <c r="BR62" s="23">
        <f>EXP(-LN(2)/2)*BR61+(1-EXP(-LN(2)/2))/(LN(2)/2)*BL62*BO62*VLOOKUP('Données projet'!$B$11,Paramètres!$A$1:$I$89,3,0)*0.475*44/12</f>
        <v>9.9883409433076993E-5</v>
      </c>
      <c r="BS62" s="24">
        <f t="shared" si="9"/>
        <v>4.2472870531307407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7.2</v>
      </c>
      <c r="BY62" s="13">
        <f>IF('Données projet'!$A$114&gt;35,BY61+BX62-CG61,IF(A62&lt;'Données projet'!$A$114,$BV$205^A62,IF(A62='Données projet'!$A$114,'Données projet'!$B$114,BY61+BX62-CG61)))</f>
        <v>334.79999999999978</v>
      </c>
      <c r="BZ62" s="14">
        <f>BY62*VLOOKUP('Données projet'!$B$12,Paramètres!$A$1:$I$89,3,0)*VLOOKUP('Données projet'!$B$12,Paramètres!$A$1:$I$89,5,0)</f>
        <v>219.36095999999986</v>
      </c>
      <c r="CA62" s="14">
        <f t="shared" si="39"/>
        <v>53.975970028112116</v>
      </c>
      <c r="CB62" s="22">
        <f t="shared" si="10"/>
        <v>476.06181979896172</v>
      </c>
      <c r="CC62" s="62">
        <f t="shared" si="11"/>
        <v>769.39515313229504</v>
      </c>
      <c r="CD62" s="62">
        <f ca="1">AVERAGE(OFFSET($CC$3,0,0,'Données projet'!$E$12+1,1))-AVERAGE(OFFSET($H$3,0,0,'Données projet'!$E$12+1,1))</f>
        <v>211.95495599943246</v>
      </c>
      <c r="CE62" s="62">
        <f t="shared" si="40"/>
        <v>270.47407508916842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1.4036984437358797</v>
      </c>
      <c r="CL62" s="23">
        <f>EXP(-LN(2)/25)*CL61+(1-EXP(-LN(2)/25))/(LN(2)/25)*Calculateur!CG62*Calculateur!CI62*VLOOKUP('Données projet'!$B$12,Paramètres!$A$1:$I$89,3,0)*0.475*44/12</f>
        <v>7.6629063253396055</v>
      </c>
      <c r="CM62" s="23">
        <f>EXP(-LN(2)/2)*CM61+(1-EXP(-LN(2)/2))/(LN(2)/2)*CG62*CJ62*VLOOKUP('Données projet'!$B$12,Paramètres!$A$1:$I$89,3,0)*0.475*44/12</f>
        <v>5.4497761785492064E-4</v>
      </c>
      <c r="CN62" s="24">
        <f t="shared" si="12"/>
        <v>9.0671497466933406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687</v>
      </c>
      <c r="L63" s="13">
        <f>VLOOKUP(A63,'Données projet'!$A$35:$I$55,9,0)</f>
        <v>15.8</v>
      </c>
      <c r="M63" s="13">
        <f t="array" ref="M63">INDEX(L:L,MIN(IF(ISNUMBER(L63:L259),ROW(L63:L259),"")))</f>
        <v>15.8</v>
      </c>
      <c r="N63" s="14">
        <f>IF('Données projet'!$A$36&gt;35,N62+M63-V62,IF(A63&lt;'Données projet'!$A$36,$K$205^A63,IF(A63='Données projet'!$A$36,'Données projet'!$B$36,N62+M63-V62)))</f>
        <v>686.99999999999977</v>
      </c>
      <c r="O63" s="14">
        <f>N63*VLOOKUP('Données projet'!$B$9,Paramètres!$A$1:$I$89,3,0)*VLOOKUP('Données projet'!$B$9,Paramètres!$A$1:$I$89,5,0)</f>
        <v>384.0329999999999</v>
      </c>
      <c r="P63" s="14">
        <f t="shared" si="33"/>
        <v>88.531966534830488</v>
      </c>
      <c r="Q63" s="22">
        <f t="shared" si="53"/>
        <v>823.05065004816288</v>
      </c>
      <c r="R63" s="62">
        <f t="shared" si="0"/>
        <v>1116.3839833814961</v>
      </c>
      <c r="S63" s="62">
        <f ca="1">AVERAGE(OFFSET($R$3,0,0,'Données projet'!$E$9+1,1))-AVERAGE(OFFSET($H$3,0,0,'Données projet'!$E$9+1,1))</f>
        <v>446.5364328843699</v>
      </c>
      <c r="T63" s="62">
        <f t="shared" si="34"/>
        <v>559.96606361482179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61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3.0179555478028819</v>
      </c>
      <c r="AA63" s="23">
        <f>EXP(-LN(2)/25)*AA62+(1-EXP(-LN(2)/25))/(LN(2)/25)*Calculateur!V63*Calculateur!X63*VLOOKUP('Données projet'!$B$9,Paramètres!$A$1:$I$89,3,0)*0.475*44/12</f>
        <v>4.6882010261588203</v>
      </c>
      <c r="AB63" s="23">
        <f>EXP(-LN(2)/2)*AB62+(1-EXP(-LN(2)/2))/(LN(2)/2)*V63*Y63*VLOOKUP('Données projet'!$B$9,Paramètres!$A$1:$I$89,3,0)*0.475*44/12</f>
        <v>3.9953179525780758E-4</v>
      </c>
      <c r="AC63" s="24">
        <f t="shared" si="3"/>
        <v>7.7065561057569596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-3.1036506698001178E-14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164.0740581424559</v>
      </c>
      <c r="AO63" s="62">
        <f t="shared" si="36"/>
        <v>280.99861170359793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9.048834367982133</v>
      </c>
      <c r="AV63" s="23">
        <f>EXP(-LN(2)/25)*AV62+(1-EXP(-LN(2)/25))/(LN(2)/25)*Calculateur!AQ63*Calculateur!AS63*VLOOKUP('Données projet'!$B$10,Paramètres!$A$1:$I$89,3,0)*0.475*44/12</f>
        <v>16.54898341062782</v>
      </c>
      <c r="AW63" s="23">
        <f>EXP(-LN(2)/2)*AW62+(1-EXP(-LN(2)/2))/(LN(2)/2)*AQ63*AT63*VLOOKUP('Données projet'!$B$10,Paramètres!$A$1:$I$89,3,0)*0.475*44/12</f>
        <v>4.9856171069352921E-4</v>
      </c>
      <c r="AX63" s="23">
        <f t="shared" si="6"/>
        <v>25.598316340320643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221</v>
      </c>
      <c r="BB63" s="13">
        <f>VLOOKUP(A63,'Données projet'!$A$87:$I$107,9,0)</f>
        <v>8</v>
      </c>
      <c r="BC63" s="13">
        <f t="array" ref="BC63">INDEX(BB:BB,MIN(IF(ISNUMBER(BB63:BB259),ROW(BB63:BB259),"")))</f>
        <v>8</v>
      </c>
      <c r="BD63" s="13">
        <f>IF('Données projet'!$A$88&gt;35,BD62+BC63-BL62,IF(A63&lt;'Données projet'!$A$88,$BA$205^A63,IF(A63='Données projet'!$A$88,'Données projet'!$B$88,BD62+BC63-BL62)))</f>
        <v>221.00000000000009</v>
      </c>
      <c r="BE63" s="14">
        <f>BD63*VLOOKUP('Données projet'!$B$11,Paramètres!$A$1:$I$89,3,0)*VLOOKUP('Données projet'!$B$11,Paramètres!$A$1:$I$89,5,0)</f>
        <v>103.42800000000004</v>
      </c>
      <c r="BF63" s="14">
        <f t="shared" si="37"/>
        <v>27.777062350859747</v>
      </c>
      <c r="BG63" s="22">
        <f t="shared" si="7"/>
        <v>228.51548359441412</v>
      </c>
      <c r="BH63" s="62">
        <f t="shared" si="8"/>
        <v>521.84881692774741</v>
      </c>
      <c r="BI63" s="62">
        <f ca="1">AVERAGE(OFFSET($BH$3,0,0,'Données projet'!$E$11+1,1))-AVERAGE(OFFSET($H$3,0,0,'Données projet'!$E$11+1,1))</f>
        <v>90.829393941874685</v>
      </c>
      <c r="BJ63" s="62">
        <f t="shared" si="38"/>
        <v>113.5315547498717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221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1.6602734780510038</v>
      </c>
      <c r="BQ63" s="23">
        <f>EXP(-LN(2)/25)*BQ62+(1-EXP(-LN(2)/25))/(LN(2)/25)*Calculateur!BL63*Calculateur!BN63*VLOOKUP('Données projet'!$B$11,Paramètres!$A$1:$I$89,3,0)*0.475*44/12</f>
        <v>2.4838743374708443</v>
      </c>
      <c r="BR63" s="23">
        <f>EXP(-LN(2)/2)*BR62+(1-EXP(-LN(2)/2))/(LN(2)/2)*BL63*BO63*VLOOKUP('Données projet'!$B$11,Paramètres!$A$1:$I$89,3,0)*0.475*44/12</f>
        <v>7.062823613816111E-5</v>
      </c>
      <c r="BS63" s="24">
        <f t="shared" si="9"/>
        <v>4.1442184437579854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342</v>
      </c>
      <c r="BW63" s="13">
        <f>VLOOKUP(A63,'Données projet'!$A$113:$I$133,9,0)</f>
        <v>7.2</v>
      </c>
      <c r="BX63" s="13">
        <f t="array" ref="BX63">INDEX(BW:BW,MIN(IF(ISNUMBER(BW63:BW259),ROW(BW63:BW259),"")))</f>
        <v>7.2</v>
      </c>
      <c r="BY63" s="13">
        <f>IF('Données projet'!$A$114&gt;35,BY62+BX63-CG62,IF(A63&lt;'Données projet'!$A$114,$BV$205^A63,IF(A63='Données projet'!$A$114,'Données projet'!$B$114,BY62+BX63-CG62)))</f>
        <v>341.99999999999977</v>
      </c>
      <c r="BZ63" s="14">
        <f>BY63*VLOOKUP('Données projet'!$B$12,Paramètres!$A$1:$I$89,3,0)*VLOOKUP('Données projet'!$B$12,Paramètres!$A$1:$I$89,5,0)</f>
        <v>224.07839999999985</v>
      </c>
      <c r="CA63" s="14">
        <f t="shared" si="39"/>
        <v>55.000355965484076</v>
      </c>
      <c r="CB63" s="22">
        <f t="shared" si="10"/>
        <v>486.06216663988454</v>
      </c>
      <c r="CC63" s="62">
        <f t="shared" si="11"/>
        <v>779.39549997321785</v>
      </c>
      <c r="CD63" s="62">
        <f ca="1">AVERAGE(OFFSET($CC$3,0,0,'Données projet'!$E$12+1,1))-AVERAGE(OFFSET($H$3,0,0,'Données projet'!$E$12+1,1))</f>
        <v>211.95495599943246</v>
      </c>
      <c r="CE63" s="62">
        <f t="shared" si="40"/>
        <v>270.47407508916842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342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1.3761727734257299</v>
      </c>
      <c r="CL63" s="23">
        <f>EXP(-LN(2)/25)*CL62+(1-EXP(-LN(2)/25))/(LN(2)/25)*Calculateur!CG63*Calculateur!CI63*VLOOKUP('Données projet'!$B$12,Paramètres!$A$1:$I$89,3,0)*0.475*44/12</f>
        <v>7.4533637488984645</v>
      </c>
      <c r="CM63" s="23">
        <f>EXP(-LN(2)/2)*CM62+(1-EXP(-LN(2)/2))/(LN(2)/2)*CG63*CJ63*VLOOKUP('Données projet'!$B$12,Paramètres!$A$1:$I$89,3,0)*0.475*44/12</f>
        <v>3.8535736918010529E-4</v>
      </c>
      <c r="CN63" s="24">
        <f t="shared" si="12"/>
        <v>8.8299218796933729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14.8</v>
      </c>
      <c r="N64" s="14">
        <f>IF('Données projet'!$A$36&gt;35,N63+M64-V63,IF(A64&lt;'Données projet'!$A$36,$K$205^A64,IF(A64='Données projet'!$A$36,'Données projet'!$B$36,N63+M64-V63)))</f>
        <v>640.79999999999973</v>
      </c>
      <c r="O64" s="14">
        <f>N64*VLOOKUP('Données projet'!$B$9,Paramètres!$A$1:$I$89,3,0)*VLOOKUP('Données projet'!$B$9,Paramètres!$A$1:$I$89,5,0)</f>
        <v>358.20719999999983</v>
      </c>
      <c r="P64" s="14">
        <f t="shared" si="33"/>
        <v>83.25017249409899</v>
      </c>
      <c r="Q64" s="22">
        <f t="shared" si="53"/>
        <v>768.87159042722215</v>
      </c>
      <c r="R64" s="62">
        <f t="shared" si="0"/>
        <v>1062.2049237605554</v>
      </c>
      <c r="S64" s="62">
        <f ca="1">AVERAGE(OFFSET($R$3,0,0,'Données projet'!$E$9+1,1))-AVERAGE(OFFSET($H$3,0,0,'Données projet'!$E$9+1,1))</f>
        <v>446.5364328843699</v>
      </c>
      <c r="T64" s="62">
        <f t="shared" si="34"/>
        <v>559.96606361482179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2.9587752802815905</v>
      </c>
      <c r="AA64" s="23">
        <f>EXP(-LN(2)/25)*AA63+(1-EXP(-LN(2)/25))/(LN(2)/25)*Calculateur!V64*Calculateur!X64*VLOOKUP('Données projet'!$B$9,Paramètres!$A$1:$I$89,3,0)*0.475*44/12</f>
        <v>4.5600019225567303</v>
      </c>
      <c r="AB64" s="23">
        <f>EXP(-LN(2)/2)*AB63+(1-EXP(-LN(2)/2))/(LN(2)/2)*V64*Y64*VLOOKUP('Données projet'!$B$9,Paramètres!$A$1:$I$89,3,0)*0.475*44/12</f>
        <v>2.8251164172643105E-4</v>
      </c>
      <c r="AC64" s="24">
        <f t="shared" si="3"/>
        <v>7.5190597144800471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-3.1036506698001178E-14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164.0740581424559</v>
      </c>
      <c r="AO64" s="62">
        <f t="shared" si="36"/>
        <v>280.99861170359793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8.8713922452699876</v>
      </c>
      <c r="AV64" s="23">
        <f>EXP(-LN(2)/25)*AV63+(1-EXP(-LN(2)/25))/(LN(2)/25)*Calculateur!AQ64*Calculateur!AS64*VLOOKUP('Données projet'!$B$10,Paramètres!$A$1:$I$89,3,0)*0.475*44/12</f>
        <v>16.096450588990987</v>
      </c>
      <c r="AW64" s="23">
        <f>EXP(-LN(2)/2)*AW63+(1-EXP(-LN(2)/2))/(LN(2)/2)*AQ64*AT64*VLOOKUP('Données projet'!$B$10,Paramètres!$A$1:$I$89,3,0)*0.475*44/12</f>
        <v>3.5253636647136018E-4</v>
      </c>
      <c r="AX64" s="23">
        <f t="shared" si="6"/>
        <v>24.968195370627445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8.5265128291212022E-14</v>
      </c>
      <c r="BE64" s="14">
        <f>BD64*VLOOKUP('Données projet'!$B$11,Paramètres!$A$1:$I$89,3,0)*VLOOKUP('Données projet'!$B$11,Paramètres!$A$1:$I$89,5,0)</f>
        <v>3.990408004028723E-14</v>
      </c>
      <c r="BF64" s="14">
        <f t="shared" si="37"/>
        <v>6.6713074187844705E-13</v>
      </c>
      <c r="BG64" s="22">
        <f t="shared" si="7"/>
        <v>1.2314189815084623E-12</v>
      </c>
      <c r="BH64" s="62">
        <f t="shared" si="8"/>
        <v>293.33333333333456</v>
      </c>
      <c r="BI64" s="62">
        <f ca="1">AVERAGE(OFFSET($BH$3,0,0,'Données projet'!$E$11+1,1))-AVERAGE(OFFSET($H$3,0,0,'Données projet'!$E$11+1,1))</f>
        <v>90.829393941874685</v>
      </c>
      <c r="BJ64" s="62">
        <f t="shared" si="38"/>
        <v>113.5315547498717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1.6277165278132526</v>
      </c>
      <c r="BQ64" s="23">
        <f>EXP(-LN(2)/25)*BQ63+(1-EXP(-LN(2)/25))/(LN(2)/25)*Calculateur!BL64*Calculateur!BN64*VLOOKUP('Données projet'!$B$11,Paramètres!$A$1:$I$89,3,0)*0.475*44/12</f>
        <v>2.4159526630914296</v>
      </c>
      <c r="BR64" s="23">
        <f>EXP(-LN(2)/2)*BR63+(1-EXP(-LN(2)/2))/(LN(2)/2)*BL64*BO64*VLOOKUP('Données projet'!$B$11,Paramètres!$A$1:$I$89,3,0)*0.475*44/12</f>
        <v>4.9941704716538497E-5</v>
      </c>
      <c r="BS64" s="24">
        <f t="shared" si="9"/>
        <v>4.0437191326093984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-2.2737367544323206E-13</v>
      </c>
      <c r="BZ64" s="14">
        <f>BY64*VLOOKUP('Données projet'!$B$12,Paramètres!$A$1:$I$89,3,0)*VLOOKUP('Données projet'!$B$12,Paramètres!$A$1:$I$89,5,0)</f>
        <v>-1.4897523215040565E-13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211.95495599943246</v>
      </c>
      <c r="CE64" s="62">
        <f t="shared" si="40"/>
        <v>270.47407508916842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1.349186864721361</v>
      </c>
      <c r="CL64" s="23">
        <f>EXP(-LN(2)/25)*CL63+(1-EXP(-LN(2)/25))/(LN(2)/25)*Calculateur!CG64*Calculateur!CI64*VLOOKUP('Données projet'!$B$12,Paramètres!$A$1:$I$89,3,0)*0.475*44/12</f>
        <v>7.2495511252294715</v>
      </c>
      <c r="CM64" s="23">
        <f>EXP(-LN(2)/2)*CM63+(1-EXP(-LN(2)/2))/(LN(2)/2)*CG64*CJ64*VLOOKUP('Données projet'!$B$12,Paramètres!$A$1:$I$89,3,0)*0.475*44/12</f>
        <v>2.7248880892746032E-4</v>
      </c>
      <c r="CN64" s="24">
        <f t="shared" si="12"/>
        <v>8.5990104787597605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14.8</v>
      </c>
      <c r="N65" s="14">
        <f>IF('Données projet'!$A$36&gt;35,N64+M65-V64,IF(A65&lt;'Données projet'!$A$36,$K$205^A65,IF(A65='Données projet'!$A$36,'Données projet'!$B$36,N64+M65-V64)))</f>
        <v>655.59999999999968</v>
      </c>
      <c r="O65" s="14">
        <f>N65*VLOOKUP('Données projet'!$B$9,Paramètres!$A$1:$I$89,3,0)*VLOOKUP('Données projet'!$B$9,Paramètres!$A$1:$I$89,5,0)</f>
        <v>366.4803999999998</v>
      </c>
      <c r="P65" s="14">
        <f t="shared" si="33"/>
        <v>84.946856071194404</v>
      </c>
      <c r="Q65" s="22">
        <f t="shared" si="53"/>
        <v>786.23580432399649</v>
      </c>
      <c r="R65" s="62">
        <f t="shared" si="0"/>
        <v>1079.5691376573297</v>
      </c>
      <c r="S65" s="62">
        <f ca="1">AVERAGE(OFFSET($R$3,0,0,'Données projet'!$E$9+1,1))-AVERAGE(OFFSET($H$3,0,0,'Données projet'!$E$9+1,1))</f>
        <v>446.5364328843699</v>
      </c>
      <c r="T65" s="62">
        <f t="shared" si="34"/>
        <v>559.96606361482179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2.9007555017099929</v>
      </c>
      <c r="AA65" s="23">
        <f>EXP(-LN(2)/25)*AA64+(1-EXP(-LN(2)/25))/(LN(2)/25)*Calculateur!V65*Calculateur!X65*VLOOKUP('Données projet'!$B$9,Paramètres!$A$1:$I$89,3,0)*0.475*44/12</f>
        <v>4.4353084301843371</v>
      </c>
      <c r="AB65" s="23">
        <f>EXP(-LN(2)/2)*AB64+(1-EXP(-LN(2)/2))/(LN(2)/2)*V65*Y65*VLOOKUP('Données projet'!$B$9,Paramètres!$A$1:$I$89,3,0)*0.475*44/12</f>
        <v>1.9976589762890379E-4</v>
      </c>
      <c r="AC65" s="24">
        <f t="shared" si="3"/>
        <v>7.3362636977919591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-3.1036506698001178E-14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164.0740581424559</v>
      </c>
      <c r="AO65" s="62">
        <f t="shared" si="36"/>
        <v>280.99861170359793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8.6974296543552185</v>
      </c>
      <c r="AV65" s="23">
        <f>EXP(-LN(2)/25)*AV64+(1-EXP(-LN(2)/25))/(LN(2)/25)*Calculateur!AQ65*Calculateur!AS65*VLOOKUP('Données projet'!$B$10,Paramètres!$A$1:$I$89,3,0)*0.475*44/12</f>
        <v>15.65629230115948</v>
      </c>
      <c r="AW65" s="23">
        <f>EXP(-LN(2)/2)*AW64+(1-EXP(-LN(2)/2))/(LN(2)/2)*AQ65*AT65*VLOOKUP('Données projet'!$B$10,Paramètres!$A$1:$I$89,3,0)*0.475*44/12</f>
        <v>2.4928085534676461E-4</v>
      </c>
      <c r="AX65" s="23">
        <f t="shared" si="6"/>
        <v>24.353971236370047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8.5265128291212022E-14</v>
      </c>
      <c r="BE65" s="14">
        <f>BD65*VLOOKUP('Données projet'!$B$11,Paramètres!$A$1:$I$89,3,0)*VLOOKUP('Données projet'!$B$11,Paramètres!$A$1:$I$89,5,0)</f>
        <v>3.990408004028723E-14</v>
      </c>
      <c r="BF65" s="14">
        <f t="shared" si="37"/>
        <v>6.6713074187844705E-13</v>
      </c>
      <c r="BG65" s="22">
        <f t="shared" si="7"/>
        <v>1.2314189815084623E-12</v>
      </c>
      <c r="BH65" s="62">
        <f t="shared" si="8"/>
        <v>293.33333333333456</v>
      </c>
      <c r="BI65" s="62">
        <f ca="1">AVERAGE(OFFSET($BH$3,0,0,'Données projet'!$E$11+1,1))-AVERAGE(OFFSET($H$3,0,0,'Données projet'!$E$11+1,1))</f>
        <v>90.829393941874685</v>
      </c>
      <c r="BJ65" s="62">
        <f t="shared" si="38"/>
        <v>113.5315547498717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1.5957979995118849</v>
      </c>
      <c r="BQ65" s="23">
        <f>EXP(-LN(2)/25)*BQ64+(1-EXP(-LN(2)/25))/(LN(2)/25)*Calculateur!BL65*Calculateur!BN65*VLOOKUP('Données projet'!$B$11,Paramètres!$A$1:$I$89,3,0)*0.475*44/12</f>
        <v>2.3498883104697659</v>
      </c>
      <c r="BR65" s="23">
        <f>EXP(-LN(2)/2)*BR64+(1-EXP(-LN(2)/2))/(LN(2)/2)*BL65*BO65*VLOOKUP('Données projet'!$B$11,Paramètres!$A$1:$I$89,3,0)*0.475*44/12</f>
        <v>3.5314118069080555E-5</v>
      </c>
      <c r="BS65" s="24">
        <f t="shared" si="9"/>
        <v>3.9457216240997197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-2.2737367544323206E-13</v>
      </c>
      <c r="BZ65" s="14">
        <f>BY65*VLOOKUP('Données projet'!$B$12,Paramètres!$A$1:$I$89,3,0)*VLOOKUP('Données projet'!$B$12,Paramètres!$A$1:$I$89,5,0)</f>
        <v>-1.4897523215040565E-13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211.95495599943246</v>
      </c>
      <c r="CE65" s="62">
        <f t="shared" si="40"/>
        <v>270.47407508916842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1.3227301332269057</v>
      </c>
      <c r="CL65" s="23">
        <f>EXP(-LN(2)/25)*CL64+(1-EXP(-LN(2)/25))/(LN(2)/25)*Calculateur!CG65*Calculateur!CI65*VLOOKUP('Données projet'!$B$12,Paramètres!$A$1:$I$89,3,0)*0.475*44/12</f>
        <v>7.0513117684727469</v>
      </c>
      <c r="CM65" s="23">
        <f>EXP(-LN(2)/2)*CM64+(1-EXP(-LN(2)/2))/(LN(2)/2)*CG65*CJ65*VLOOKUP('Données projet'!$B$12,Paramètres!$A$1:$I$89,3,0)*0.475*44/12</f>
        <v>1.9267868459005264E-4</v>
      </c>
      <c r="CN65" s="24">
        <f t="shared" si="12"/>
        <v>8.3742345803842415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14.8</v>
      </c>
      <c r="N66" s="14">
        <f>IF('Données projet'!$A$36&gt;35,N65+M66-V65,IF(A66&lt;'Données projet'!$A$36,$K$205^A66,IF(A66='Données projet'!$A$36,'Données projet'!$B$36,N65+M66-V65)))</f>
        <v>670.39999999999964</v>
      </c>
      <c r="O66" s="14">
        <f>N66*VLOOKUP('Données projet'!$B$9,Paramètres!$A$1:$I$89,3,0)*VLOOKUP('Données projet'!$B$9,Paramètres!$A$1:$I$89,5,0)</f>
        <v>374.75359999999978</v>
      </c>
      <c r="P66" s="14">
        <f t="shared" si="33"/>
        <v>86.6390867259218</v>
      </c>
      <c r="Q66" s="22">
        <f t="shared" si="53"/>
        <v>803.59226271431351</v>
      </c>
      <c r="R66" s="62">
        <f t="shared" si="0"/>
        <v>1096.9255960476469</v>
      </c>
      <c r="S66" s="62">
        <f ca="1">AVERAGE(OFFSET($R$3,0,0,'Données projet'!$E$9+1,1))-AVERAGE(OFFSET($H$3,0,0,'Données projet'!$E$9+1,1))</f>
        <v>446.5364328843699</v>
      </c>
      <c r="T66" s="62">
        <f t="shared" si="34"/>
        <v>559.96606361482179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2.8438734556076133</v>
      </c>
      <c r="AA66" s="23">
        <f>EXP(-LN(2)/25)*AA65+(1-EXP(-LN(2)/25))/(LN(2)/25)*Calculateur!V66*Calculateur!X66*VLOOKUP('Données projet'!$B$9,Paramètres!$A$1:$I$89,3,0)*0.475*44/12</f>
        <v>4.3140246879182129</v>
      </c>
      <c r="AB66" s="23">
        <f>EXP(-LN(2)/2)*AB65+(1-EXP(-LN(2)/2))/(LN(2)/2)*V66*Y66*VLOOKUP('Données projet'!$B$9,Paramètres!$A$1:$I$89,3,0)*0.475*44/12</f>
        <v>1.4125582086321552E-4</v>
      </c>
      <c r="AC66" s="24">
        <f t="shared" si="3"/>
        <v>7.1580393993466895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-3.1036506698001178E-14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164.0740581424559</v>
      </c>
      <c r="AO66" s="62">
        <f t="shared" si="36"/>
        <v>280.99861170359793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8.5268783637415861</v>
      </c>
      <c r="AV66" s="23">
        <f>EXP(-LN(2)/25)*AV65+(1-EXP(-LN(2)/25))/(LN(2)/25)*Calculateur!AQ66*Calculateur!AS66*VLOOKUP('Données projet'!$B$10,Paramètres!$A$1:$I$89,3,0)*0.475*44/12</f>
        <v>15.228170164855644</v>
      </c>
      <c r="AW66" s="23">
        <f>EXP(-LN(2)/2)*AW65+(1-EXP(-LN(2)/2))/(LN(2)/2)*AQ66*AT66*VLOOKUP('Données projet'!$B$10,Paramètres!$A$1:$I$89,3,0)*0.475*44/12</f>
        <v>1.7626818323568009E-4</v>
      </c>
      <c r="AX66" s="23">
        <f t="shared" si="6"/>
        <v>23.755224796780464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8.5265128291212022E-14</v>
      </c>
      <c r="BE66" s="14">
        <f>BD66*VLOOKUP('Données projet'!$B$11,Paramètres!$A$1:$I$89,3,0)*VLOOKUP('Données projet'!$B$11,Paramètres!$A$1:$I$89,5,0)</f>
        <v>3.990408004028723E-14</v>
      </c>
      <c r="BF66" s="14">
        <f t="shared" si="37"/>
        <v>6.6713074187844705E-13</v>
      </c>
      <c r="BG66" s="22">
        <f t="shared" si="7"/>
        <v>1.2314189815084623E-12</v>
      </c>
      <c r="BH66" s="62">
        <f t="shared" si="8"/>
        <v>293.33333333333456</v>
      </c>
      <c r="BI66" s="62">
        <f ca="1">AVERAGE(OFFSET($BH$3,0,0,'Données projet'!$E$11+1,1))-AVERAGE(OFFSET($H$3,0,0,'Données projet'!$E$11+1,1))</f>
        <v>90.829393941874685</v>
      </c>
      <c r="BJ66" s="62">
        <f t="shared" si="38"/>
        <v>113.5315547498717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1.5645053740821271</v>
      </c>
      <c r="BQ66" s="23">
        <f>EXP(-LN(2)/25)*BQ65+(1-EXP(-LN(2)/25))/(LN(2)/25)*Calculateur!BL66*Calculateur!BN66*VLOOKUP('Données projet'!$B$11,Paramètres!$A$1:$I$89,3,0)*0.475*44/12</f>
        <v>2.2856304910447145</v>
      </c>
      <c r="BR66" s="23">
        <f>EXP(-LN(2)/2)*BR65+(1-EXP(-LN(2)/2))/(LN(2)/2)*BL66*BO66*VLOOKUP('Données projet'!$B$11,Paramètres!$A$1:$I$89,3,0)*0.475*44/12</f>
        <v>2.4970852358269248E-5</v>
      </c>
      <c r="BS66" s="24">
        <f t="shared" si="9"/>
        <v>3.8501608359791999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-2.2737367544323206E-13</v>
      </c>
      <c r="BZ66" s="14">
        <f>BY66*VLOOKUP('Données projet'!$B$12,Paramètres!$A$1:$I$89,3,0)*VLOOKUP('Données projet'!$B$12,Paramètres!$A$1:$I$89,5,0)</f>
        <v>-1.4897523215040565E-13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211.95495599943246</v>
      </c>
      <c r="CE66" s="62">
        <f t="shared" si="40"/>
        <v>270.47407508916842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1.2967922021000438</v>
      </c>
      <c r="CL66" s="23">
        <f>EXP(-LN(2)/25)*CL65+(1-EXP(-LN(2)/25))/(LN(2)/25)*Calculateur!CG66*Calculateur!CI66*VLOOKUP('Données projet'!$B$12,Paramètres!$A$1:$I$89,3,0)*0.475*44/12</f>
        <v>6.8584932773514895</v>
      </c>
      <c r="CM66" s="23">
        <f>EXP(-LN(2)/2)*CM65+(1-EXP(-LN(2)/2))/(LN(2)/2)*CG66*CJ66*VLOOKUP('Données projet'!$B$12,Paramètres!$A$1:$I$89,3,0)*0.475*44/12</f>
        <v>1.3624440446373016E-4</v>
      </c>
      <c r="CN66" s="24">
        <f t="shared" si="12"/>
        <v>8.1554217238559978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14.8</v>
      </c>
      <c r="N67" s="14">
        <f>IF('Données projet'!$A$36&gt;35,N66+M67-V66,IF(A67&lt;'Données projet'!$A$36,$K$205^A67,IF(A67='Données projet'!$A$36,'Données projet'!$B$36,N66+M67-V66)))</f>
        <v>685.19999999999959</v>
      </c>
      <c r="O67" s="14">
        <f>N67*VLOOKUP('Données projet'!$B$9,Paramètres!$A$1:$I$89,3,0)*VLOOKUP('Données projet'!$B$9,Paramètres!$A$1:$I$89,5,0)</f>
        <v>383.02679999999975</v>
      </c>
      <c r="P67" s="14">
        <f t="shared" si="33"/>
        <v>88.326974082383998</v>
      </c>
      <c r="Q67" s="22">
        <f t="shared" ref="Q67:Q98" si="54">(O67+P67)*0.475*44/12</f>
        <v>820.9411565268183</v>
      </c>
      <c r="R67" s="62">
        <f t="shared" ref="R67:R130" si="55">Q67+(I67+J67)*44/12</f>
        <v>1114.2744898601516</v>
      </c>
      <c r="S67" s="62">
        <f ca="1">AVERAGE(OFFSET($R$3,0,0,'Données projet'!$E$9+1,1))-AVERAGE(OFFSET($H$3,0,0,'Données projet'!$E$9+1,1))</f>
        <v>446.5364328843699</v>
      </c>
      <c r="T67" s="62">
        <f t="shared" si="34"/>
        <v>559.96606361482179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2.7881068317346793</v>
      </c>
      <c r="AA67" s="23">
        <f>EXP(-LN(2)/25)*AA66+(1-EXP(-LN(2)/25))/(LN(2)/25)*Calculateur!V67*Calculateur!X67*VLOOKUP('Données projet'!$B$9,Paramètres!$A$1:$I$89,3,0)*0.475*44/12</f>
        <v>4.1960574559623911</v>
      </c>
      <c r="AB67" s="23">
        <f>EXP(-LN(2)/2)*AB66+(1-EXP(-LN(2)/2))/(LN(2)/2)*V67*Y67*VLOOKUP('Données projet'!$B$9,Paramètres!$A$1:$I$89,3,0)*0.475*44/12</f>
        <v>9.9882948814451896E-5</v>
      </c>
      <c r="AC67" s="24">
        <f t="shared" si="3"/>
        <v>6.9842641706458846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-3.1036506698001178E-14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164.0740581424559</v>
      </c>
      <c r="AO67" s="62">
        <f t="shared" si="36"/>
        <v>280.99861170359793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8.3596714799108707</v>
      </c>
      <c r="AV67" s="23">
        <f>EXP(-LN(2)/25)*AV66+(1-EXP(-LN(2)/25))/(LN(2)/25)*Calculateur!AQ67*Calculateur!AS67*VLOOKUP('Données projet'!$B$10,Paramètres!$A$1:$I$89,3,0)*0.475*44/12</f>
        <v>14.811755050883002</v>
      </c>
      <c r="AW67" s="23">
        <f>EXP(-LN(2)/2)*AW66+(1-EXP(-LN(2)/2))/(LN(2)/2)*AQ67*AT67*VLOOKUP('Données projet'!$B$10,Paramètres!$A$1:$I$89,3,0)*0.475*44/12</f>
        <v>1.246404276733823E-4</v>
      </c>
      <c r="AX67" s="23">
        <f t="shared" si="6"/>
        <v>23.171551171221548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8.5265128291212022E-14</v>
      </c>
      <c r="BE67" s="14">
        <f>BD67*VLOOKUP('Données projet'!$B$11,Paramètres!$A$1:$I$89,3,0)*VLOOKUP('Données projet'!$B$11,Paramètres!$A$1:$I$89,5,0)</f>
        <v>3.990408004028723E-14</v>
      </c>
      <c r="BF67" s="14">
        <f t="shared" si="37"/>
        <v>6.6713074187844705E-13</v>
      </c>
      <c r="BG67" s="22">
        <f t="shared" si="7"/>
        <v>1.2314189815084623E-12</v>
      </c>
      <c r="BH67" s="62">
        <f t="shared" si="8"/>
        <v>293.33333333333456</v>
      </c>
      <c r="BI67" s="62">
        <f ca="1">AVERAGE(OFFSET($BH$3,0,0,'Données projet'!$E$11+1,1))-AVERAGE(OFFSET($H$3,0,0,'Données projet'!$E$11+1,1))</f>
        <v>90.829393941874685</v>
      </c>
      <c r="BJ67" s="62">
        <f t="shared" si="38"/>
        <v>113.5315547498717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1.53382637795043</v>
      </c>
      <c r="BQ67" s="23">
        <f>EXP(-LN(2)/25)*BQ66+(1-EXP(-LN(2)/25))/(LN(2)/25)*Calculateur!BL67*Calculateur!BN67*VLOOKUP('Données projet'!$B$11,Paramètres!$A$1:$I$89,3,0)*0.475*44/12</f>
        <v>2.2231298050710131</v>
      </c>
      <c r="BR67" s="23">
        <f>EXP(-LN(2)/2)*BR66+(1-EXP(-LN(2)/2))/(LN(2)/2)*BL67*BO67*VLOOKUP('Données projet'!$B$11,Paramètres!$A$1:$I$89,3,0)*0.475*44/12</f>
        <v>1.7657059034540278E-5</v>
      </c>
      <c r="BS67" s="24">
        <f t="shared" si="9"/>
        <v>3.7569738400804775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-2.2737367544323206E-13</v>
      </c>
      <c r="BZ67" s="14">
        <f>BY67*VLOOKUP('Données projet'!$B$12,Paramètres!$A$1:$I$89,3,0)*VLOOKUP('Données projet'!$B$12,Paramètres!$A$1:$I$89,5,0)</f>
        <v>-1.4897523215040565E-13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211.95495599943246</v>
      </c>
      <c r="CE67" s="62">
        <f t="shared" si="40"/>
        <v>270.47407508916842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1.2713628979820037</v>
      </c>
      <c r="CL67" s="23">
        <f>EXP(-LN(2)/25)*CL66+(1-EXP(-LN(2)/25))/(LN(2)/25)*Calculateur!CG67*Calculateur!CI67*VLOOKUP('Données projet'!$B$12,Paramètres!$A$1:$I$89,3,0)*0.475*44/12</f>
        <v>6.6709474180098267</v>
      </c>
      <c r="CM67" s="23">
        <f>EXP(-LN(2)/2)*CM66+(1-EXP(-LN(2)/2))/(LN(2)/2)*CG67*CJ67*VLOOKUP('Données projet'!$B$12,Paramètres!$A$1:$I$89,3,0)*0.475*44/12</f>
        <v>9.6339342295026322E-5</v>
      </c>
      <c r="CN67" s="24">
        <f t="shared" si="12"/>
        <v>7.9424066553341257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700</v>
      </c>
      <c r="L68" s="13">
        <f>VLOOKUP(A68,'Données projet'!$A$35:$I$55,9,0)</f>
        <v>14.8</v>
      </c>
      <c r="M68" s="13">
        <f t="array" ref="M68">INDEX(L:L,MIN(IF(ISNUMBER(L68:L264),ROW(L68:L264),"")))</f>
        <v>14.8</v>
      </c>
      <c r="N68" s="14">
        <f>IF('Données projet'!$A$36&gt;35,N67+M68-V67,IF(A68&lt;'Données projet'!$A$36,$K$205^A68,IF(A68='Données projet'!$A$36,'Données projet'!$B$36,N67+M68-V67)))</f>
        <v>699.99999999999955</v>
      </c>
      <c r="O68" s="14">
        <f>N68*VLOOKUP('Données projet'!$B$9,Paramètres!$A$1:$I$89,3,0)*VLOOKUP('Données projet'!$B$9,Paramètres!$A$1:$I$89,5,0)</f>
        <v>391.29999999999973</v>
      </c>
      <c r="P68" s="14">
        <f t="shared" si="33"/>
        <v>90.010622758534623</v>
      </c>
      <c r="Q68" s="22">
        <f t="shared" si="54"/>
        <v>838.28266797111394</v>
      </c>
      <c r="R68" s="62">
        <f t="shared" si="55"/>
        <v>1131.6160013044473</v>
      </c>
      <c r="S68" s="62">
        <f ca="1">AVERAGE(OFFSET($R$3,0,0,'Données projet'!$E$9+1,1))-AVERAGE(OFFSET($H$3,0,0,'Données projet'!$E$9+1,1))</f>
        <v>446.5364328843699</v>
      </c>
      <c r="T68" s="62">
        <f t="shared" si="34"/>
        <v>559.96606361482179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700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2.7334337573416114</v>
      </c>
      <c r="AA68" s="23">
        <f>EXP(-LN(2)/25)*AA67+(1-EXP(-LN(2)/25))/(LN(2)/25)*Calculateur!V68*Calculateur!X68*VLOOKUP('Données projet'!$B$9,Paramètres!$A$1:$I$89,3,0)*0.475*44/12</f>
        <v>4.0813160441680285</v>
      </c>
      <c r="AB68" s="23">
        <f>EXP(-LN(2)/2)*AB67+(1-EXP(-LN(2)/2))/(LN(2)/2)*V68*Y68*VLOOKUP('Données projet'!$B$9,Paramètres!$A$1:$I$89,3,0)*0.475*44/12</f>
        <v>7.0627910431607762E-5</v>
      </c>
      <c r="AC68" s="24">
        <f t="shared" ref="AC68:AC131" si="57">SUM(Z68:AB68)</f>
        <v>6.8148204294200712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-3.1036506698001178E-14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164.0740581424559</v>
      </c>
      <c r="AO68" s="62">
        <f t="shared" si="36"/>
        <v>280.99861170359793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8.1957434210859468</v>
      </c>
      <c r="AV68" s="23">
        <f>EXP(-LN(2)/25)*AV67+(1-EXP(-LN(2)/25))/(LN(2)/25)*Calculateur!AQ68*Calculateur!AS68*VLOOKUP('Données projet'!$B$10,Paramètres!$A$1:$I$89,3,0)*0.475*44/12</f>
        <v>14.406726830100261</v>
      </c>
      <c r="AW68" s="23">
        <f>EXP(-LN(2)/2)*AW67+(1-EXP(-LN(2)/2))/(LN(2)/2)*AQ68*AT68*VLOOKUP('Données projet'!$B$10,Paramètres!$A$1:$I$89,3,0)*0.475*44/12</f>
        <v>8.8134091617840044E-5</v>
      </c>
      <c r="AX68" s="23">
        <f t="shared" ref="AX68:AX131" si="60">SUM(AU68:AW68)</f>
        <v>22.602558385277828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8.5265128291212022E-14</v>
      </c>
      <c r="BE68" s="14">
        <f>BD68*VLOOKUP('Données projet'!$B$11,Paramètres!$A$1:$I$89,3,0)*VLOOKUP('Données projet'!$B$11,Paramètres!$A$1:$I$89,5,0)</f>
        <v>3.990408004028723E-14</v>
      </c>
      <c r="BF68" s="14">
        <f t="shared" si="37"/>
        <v>6.6713074187844705E-13</v>
      </c>
      <c r="BG68" s="22">
        <f t="shared" ref="BG68:BG131" si="61">(BE68+BF68)*0.475*44/12</f>
        <v>1.2314189815084623E-12</v>
      </c>
      <c r="BH68" s="62">
        <f t="shared" ref="BH68:BH131" si="62">BG68+(AY68+AZ68)*44/12</f>
        <v>293.33333333333456</v>
      </c>
      <c r="BI68" s="62">
        <f ca="1">AVERAGE(OFFSET($BH$3,0,0,'Données projet'!$E$11+1,1))-AVERAGE(OFFSET($H$3,0,0,'Données projet'!$E$11+1,1))</f>
        <v>90.829393941874685</v>
      </c>
      <c r="BJ68" s="62">
        <f t="shared" si="38"/>
        <v>113.5315547498717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1.5037489782205355</v>
      </c>
      <c r="BQ68" s="23">
        <f>EXP(-LN(2)/25)*BQ67+(1-EXP(-LN(2)/25))/(LN(2)/25)*Calculateur!BL68*Calculateur!BN68*VLOOKUP('Données projet'!$B$11,Paramètres!$A$1:$I$89,3,0)*0.475*44/12</f>
        <v>2.1623382036420309</v>
      </c>
      <c r="BR68" s="23">
        <f>EXP(-LN(2)/2)*BR67+(1-EXP(-LN(2)/2))/(LN(2)/2)*BL68*BO68*VLOOKUP('Données projet'!$B$11,Paramètres!$A$1:$I$89,3,0)*0.475*44/12</f>
        <v>1.2485426179134624E-5</v>
      </c>
      <c r="BS68" s="24">
        <f t="shared" ref="BS68:BS131" si="63">SUM(BP68:BR68)</f>
        <v>3.6660996672887456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-2.2737367544323206E-13</v>
      </c>
      <c r="BZ68" s="14">
        <f>BY68*VLOOKUP('Données projet'!$B$12,Paramètres!$A$1:$I$89,3,0)*VLOOKUP('Données projet'!$B$12,Paramètres!$A$1:$I$89,5,0)</f>
        <v>-1.4897523215040565E-13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211.95495599943246</v>
      </c>
      <c r="CE68" s="62">
        <f t="shared" si="40"/>
        <v>270.47407508916842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1.2464322470073745</v>
      </c>
      <c r="CL68" s="23">
        <f>EXP(-LN(2)/25)*CL67+(1-EXP(-LN(2)/25))/(LN(2)/25)*Calculateur!CG68*Calculateur!CI68*VLOOKUP('Données projet'!$B$12,Paramètres!$A$1:$I$89,3,0)*0.475*44/12</f>
        <v>6.4885300100544701</v>
      </c>
      <c r="CM68" s="23">
        <f>EXP(-LN(2)/2)*CM67+(1-EXP(-LN(2)/2))/(LN(2)/2)*CG68*CJ68*VLOOKUP('Données projet'!$B$12,Paramètres!$A$1:$I$89,3,0)*0.475*44/12</f>
        <v>6.812220223186508E-5</v>
      </c>
      <c r="CN68" s="24">
        <f t="shared" ref="CN68:CN131" si="66">SUM(CK68:CM68)</f>
        <v>7.7350303792640771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-4.5474735088646412E-13</v>
      </c>
      <c r="O69" s="14">
        <f>N69*VLOOKUP('Données projet'!$B$9,Paramètres!$A$1:$I$89,3,0)*VLOOKUP('Données projet'!$B$9,Paramètres!$A$1:$I$89,5,0)</f>
        <v>-2.5420376914553347E-13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446.5364328843699</v>
      </c>
      <c r="T69" s="62">
        <f t="shared" ref="T69:T132" si="88">$T$3</f>
        <v>559.96606361482179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2.679832788590109</v>
      </c>
      <c r="AA69" s="23">
        <f>EXP(-LN(2)/25)*AA68+(1-EXP(-LN(2)/25))/(LN(2)/25)*Calculateur!V69*Calculateur!X69*VLOOKUP('Données projet'!$B$9,Paramètres!$A$1:$I$89,3,0)*0.475*44/12</f>
        <v>3.9697122423131708</v>
      </c>
      <c r="AB69" s="23">
        <f>EXP(-LN(2)/2)*AB68+(1-EXP(-LN(2)/2))/(LN(2)/2)*V69*Y69*VLOOKUP('Données projet'!$B$9,Paramètres!$A$1:$I$89,3,0)*0.475*44/12</f>
        <v>4.9941474407225948E-5</v>
      </c>
      <c r="AC69" s="24">
        <f t="shared" si="57"/>
        <v>6.6495949723776873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-3.1036506698001178E-14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164.0740581424559</v>
      </c>
      <c r="AO69" s="62">
        <f t="shared" ref="AO69:AO132" si="90">$AO$3</f>
        <v>280.99861170359793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8.0350298915083371</v>
      </c>
      <c r="AV69" s="23">
        <f>EXP(-LN(2)/25)*AV68+(1-EXP(-LN(2)/25))/(LN(2)/25)*Calculateur!AQ69*Calculateur!AS69*VLOOKUP('Données projet'!$B$10,Paramètres!$A$1:$I$89,3,0)*0.475*44/12</f>
        <v>14.012774127314334</v>
      </c>
      <c r="AW69" s="23">
        <f>EXP(-LN(2)/2)*AW68+(1-EXP(-LN(2)/2))/(LN(2)/2)*AQ69*AT69*VLOOKUP('Données projet'!$B$10,Paramètres!$A$1:$I$89,3,0)*0.475*44/12</f>
        <v>6.2320213836691152E-5</v>
      </c>
      <c r="AX69" s="23">
        <f t="shared" si="60"/>
        <v>22.047866339036506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8.5265128291212022E-14</v>
      </c>
      <c r="BE69" s="14">
        <f>BD69*VLOOKUP('Données projet'!$B$11,Paramètres!$A$1:$I$89,3,0)*VLOOKUP('Données projet'!$B$11,Paramètres!$A$1:$I$89,5,0)</f>
        <v>3.990408004028723E-14</v>
      </c>
      <c r="BF69" s="14">
        <f t="shared" ref="BF69:BF132" si="91">EXP(-1.0587+0.8836*LN(BE69)+0.284)</f>
        <v>6.6713074187844705E-13</v>
      </c>
      <c r="BG69" s="22">
        <f t="shared" si="61"/>
        <v>1.2314189815084623E-12</v>
      </c>
      <c r="BH69" s="62">
        <f t="shared" si="62"/>
        <v>293.33333333333456</v>
      </c>
      <c r="BI69" s="62">
        <f ca="1">AVERAGE(OFFSET($BH$3,0,0,'Données projet'!$E$11+1,1))-AVERAGE(OFFSET($H$3,0,0,'Données projet'!$E$11+1,1))</f>
        <v>90.829393941874685</v>
      </c>
      <c r="BJ69" s="62">
        <f t="shared" ref="BJ69:BJ132" si="92">$BJ$3</f>
        <v>113.5315547498717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1.474261377953942</v>
      </c>
      <c r="BQ69" s="23">
        <f>EXP(-LN(2)/25)*BQ68+(1-EXP(-LN(2)/25))/(LN(2)/25)*Calculateur!BL69*Calculateur!BN69*VLOOKUP('Données projet'!$B$11,Paramètres!$A$1:$I$89,3,0)*0.475*44/12</f>
        <v>2.1032089517510153</v>
      </c>
      <c r="BR69" s="23">
        <f>EXP(-LN(2)/2)*BR68+(1-EXP(-LN(2)/2))/(LN(2)/2)*BL69*BO69*VLOOKUP('Données projet'!$B$11,Paramètres!$A$1:$I$89,3,0)*0.475*44/12</f>
        <v>8.8285295172701388E-6</v>
      </c>
      <c r="BS69" s="24">
        <f t="shared" si="63"/>
        <v>3.5774791582344747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-2.2737367544323206E-13</v>
      </c>
      <c r="BZ69" s="14">
        <f>BY69*VLOOKUP('Données projet'!$B$12,Paramètres!$A$1:$I$89,3,0)*VLOOKUP('Données projet'!$B$12,Paramètres!$A$1:$I$89,5,0)</f>
        <v>-1.4897523215040565E-13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211.95495599943246</v>
      </c>
      <c r="CE69" s="62">
        <f t="shared" ref="CE69:CE132" si="94">$CE$3</f>
        <v>270.47407508916842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1.2219904708921623</v>
      </c>
      <c r="CL69" s="23">
        <f>EXP(-LN(2)/25)*CL68+(1-EXP(-LN(2)/25))/(LN(2)/25)*Calculateur!CG69*Calculateur!CI69*VLOOKUP('Données projet'!$B$12,Paramètres!$A$1:$I$89,3,0)*0.475*44/12</f>
        <v>6.3111008157125674</v>
      </c>
      <c r="CM69" s="23">
        <f>EXP(-LN(2)/2)*CM68+(1-EXP(-LN(2)/2))/(LN(2)/2)*CG69*CJ69*VLOOKUP('Données projet'!$B$12,Paramètres!$A$1:$I$89,3,0)*0.475*44/12</f>
        <v>4.8169671147513161E-5</v>
      </c>
      <c r="CN69" s="24">
        <f t="shared" si="66"/>
        <v>7.5331394562758778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-4.5474735088646412E-13</v>
      </c>
      <c r="O70" s="14">
        <f>N70*VLOOKUP('Données projet'!$B$9,Paramètres!$A$1:$I$89,3,0)*VLOOKUP('Données projet'!$B$9,Paramètres!$A$1:$I$89,5,0)</f>
        <v>-2.5420376914553347E-13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446.5364328843699</v>
      </c>
      <c r="T70" s="62">
        <f t="shared" si="88"/>
        <v>559.96606361482179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2.6272829021424609</v>
      </c>
      <c r="AA70" s="23">
        <f>EXP(-LN(2)/25)*AA69+(1-EXP(-LN(2)/25))/(LN(2)/25)*Calculateur!V70*Calculateur!X70*VLOOKUP('Données projet'!$B$9,Paramètres!$A$1:$I$89,3,0)*0.475*44/12</f>
        <v>3.8611602522890234</v>
      </c>
      <c r="AB70" s="23">
        <f>EXP(-LN(2)/2)*AB69+(1-EXP(-LN(2)/2))/(LN(2)/2)*V70*Y70*VLOOKUP('Données projet'!$B$9,Paramètres!$A$1:$I$89,3,0)*0.475*44/12</f>
        <v>3.5313955215803881E-5</v>
      </c>
      <c r="AC70" s="24">
        <f t="shared" si="57"/>
        <v>6.4884784683867007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-3.1036506698001178E-14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164.0740581424559</v>
      </c>
      <c r="AO70" s="62">
        <f t="shared" si="90"/>
        <v>280.99861170359793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7.8774678562201705</v>
      </c>
      <c r="AV70" s="23">
        <f>EXP(-LN(2)/25)*AV69+(1-EXP(-LN(2)/25))/(LN(2)/25)*Calculateur!AQ70*Calculateur!AS70*VLOOKUP('Données projet'!$B$10,Paramètres!$A$1:$I$89,3,0)*0.475*44/12</f>
        <v>13.629594081903159</v>
      </c>
      <c r="AW70" s="23">
        <f>EXP(-LN(2)/2)*AW69+(1-EXP(-LN(2)/2))/(LN(2)/2)*AQ70*AT70*VLOOKUP('Données projet'!$B$10,Paramètres!$A$1:$I$89,3,0)*0.475*44/12</f>
        <v>4.4067045808920022E-5</v>
      </c>
      <c r="AX70" s="23">
        <f t="shared" si="60"/>
        <v>21.507106005169138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8.5265128291212022E-14</v>
      </c>
      <c r="BE70" s="14">
        <f>BD70*VLOOKUP('Données projet'!$B$11,Paramètres!$A$1:$I$89,3,0)*VLOOKUP('Données projet'!$B$11,Paramètres!$A$1:$I$89,5,0)</f>
        <v>3.990408004028723E-14</v>
      </c>
      <c r="BF70" s="14">
        <f t="shared" si="91"/>
        <v>6.6713074187844705E-13</v>
      </c>
      <c r="BG70" s="22">
        <f t="shared" si="61"/>
        <v>1.2314189815084623E-12</v>
      </c>
      <c r="BH70" s="62">
        <f t="shared" si="62"/>
        <v>293.33333333333456</v>
      </c>
      <c r="BI70" s="62">
        <f ca="1">AVERAGE(OFFSET($BH$3,0,0,'Données projet'!$E$11+1,1))-AVERAGE(OFFSET($H$3,0,0,'Données projet'!$E$11+1,1))</f>
        <v>90.829393941874685</v>
      </c>
      <c r="BJ70" s="62">
        <f t="shared" si="92"/>
        <v>113.5315547498717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1.4453520115429161</v>
      </c>
      <c r="BQ70" s="23">
        <f>EXP(-LN(2)/25)*BQ69+(1-EXP(-LN(2)/25))/(LN(2)/25)*Calculateur!BL70*Calculateur!BN70*VLOOKUP('Données projet'!$B$11,Paramètres!$A$1:$I$89,3,0)*0.475*44/12</f>
        <v>2.045696592362432</v>
      </c>
      <c r="BR70" s="23">
        <f>EXP(-LN(2)/2)*BR69+(1-EXP(-LN(2)/2))/(LN(2)/2)*BL70*BO70*VLOOKUP('Données projet'!$B$11,Paramètres!$A$1:$I$89,3,0)*0.475*44/12</f>
        <v>6.2427130895673121E-6</v>
      </c>
      <c r="BS70" s="24">
        <f t="shared" si="63"/>
        <v>3.4910548466184377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-2.2737367544323206E-13</v>
      </c>
      <c r="BZ70" s="14">
        <f>BY70*VLOOKUP('Données projet'!$B$12,Paramètres!$A$1:$I$89,3,0)*VLOOKUP('Données projet'!$B$12,Paramètres!$A$1:$I$89,5,0)</f>
        <v>-1.4897523215040565E-13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211.95495599943246</v>
      </c>
      <c r="CE70" s="62">
        <f t="shared" si="94"/>
        <v>270.47407508916842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1.1980279830985578</v>
      </c>
      <c r="CL70" s="23">
        <f>EXP(-LN(2)/25)*CL69+(1-EXP(-LN(2)/25))/(LN(2)/25)*Calculateur!CG70*Calculateur!CI70*VLOOKUP('Données projet'!$B$12,Paramètres!$A$1:$I$89,3,0)*0.475*44/12</f>
        <v>6.1385234320205395</v>
      </c>
      <c r="CM70" s="23">
        <f>EXP(-LN(2)/2)*CM69+(1-EXP(-LN(2)/2))/(LN(2)/2)*CG70*CJ70*VLOOKUP('Données projet'!$B$12,Paramètres!$A$1:$I$89,3,0)*0.475*44/12</f>
        <v>3.406110111593254E-5</v>
      </c>
      <c r="CN70" s="24">
        <f t="shared" si="66"/>
        <v>7.336585476220213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-4.5474735088646412E-13</v>
      </c>
      <c r="O71" s="14">
        <f>N71*VLOOKUP('Données projet'!$B$9,Paramètres!$A$1:$I$89,3,0)*VLOOKUP('Données projet'!$B$9,Paramètres!$A$1:$I$89,5,0)</f>
        <v>-2.5420376914553347E-13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446.5364328843699</v>
      </c>
      <c r="T71" s="62">
        <f t="shared" si="88"/>
        <v>559.96606361482179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2.5757634869157853</v>
      </c>
      <c r="AA71" s="23">
        <f>EXP(-LN(2)/25)*AA70+(1-EXP(-LN(2)/25))/(LN(2)/25)*Calculateur!V71*Calculateur!X71*VLOOKUP('Données projet'!$B$9,Paramètres!$A$1:$I$89,3,0)*0.475*44/12</f>
        <v>3.7555766221405871</v>
      </c>
      <c r="AB71" s="23">
        <f>EXP(-LN(2)/2)*AB70+(1-EXP(-LN(2)/2))/(LN(2)/2)*V71*Y71*VLOOKUP('Données projet'!$B$9,Paramètres!$A$1:$I$89,3,0)*0.475*44/12</f>
        <v>2.4970737203612974E-5</v>
      </c>
      <c r="AC71" s="24">
        <f t="shared" si="57"/>
        <v>6.3313650797935752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-3.1036506698001178E-14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164.0740581424559</v>
      </c>
      <c r="AO71" s="62">
        <f t="shared" si="90"/>
        <v>280.99861170359793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7.722995516340653</v>
      </c>
      <c r="AV71" s="23">
        <f>EXP(-LN(2)/25)*AV70+(1-EXP(-LN(2)/25))/(LN(2)/25)*Calculateur!AQ71*Calculateur!AS71*VLOOKUP('Données projet'!$B$10,Paramètres!$A$1:$I$89,3,0)*0.475*44/12</f>
        <v>13.256892114984316</v>
      </c>
      <c r="AW71" s="23">
        <f>EXP(-LN(2)/2)*AW70+(1-EXP(-LN(2)/2))/(LN(2)/2)*AQ71*AT71*VLOOKUP('Données projet'!$B$10,Paramètres!$A$1:$I$89,3,0)*0.475*44/12</f>
        <v>3.1160106918345576E-5</v>
      </c>
      <c r="AX71" s="23">
        <f t="shared" si="60"/>
        <v>20.979918791431889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8.5265128291212022E-14</v>
      </c>
      <c r="BE71" s="14">
        <f>BD71*VLOOKUP('Données projet'!$B$11,Paramètres!$A$1:$I$89,3,0)*VLOOKUP('Données projet'!$B$11,Paramètres!$A$1:$I$89,5,0)</f>
        <v>3.990408004028723E-14</v>
      </c>
      <c r="BF71" s="14">
        <f t="shared" si="91"/>
        <v>6.6713074187844705E-13</v>
      </c>
      <c r="BG71" s="22">
        <f t="shared" si="61"/>
        <v>1.2314189815084623E-12</v>
      </c>
      <c r="BH71" s="62">
        <f t="shared" si="62"/>
        <v>293.33333333333456</v>
      </c>
      <c r="BI71" s="62">
        <f ca="1">AVERAGE(OFFSET($BH$3,0,0,'Données projet'!$E$11+1,1))-AVERAGE(OFFSET($H$3,0,0,'Données projet'!$E$11+1,1))</f>
        <v>90.829393941874685</v>
      </c>
      <c r="BJ71" s="62">
        <f t="shared" si="92"/>
        <v>113.5315547498717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1.417009540174238</v>
      </c>
      <c r="BQ71" s="23">
        <f>EXP(-LN(2)/25)*BQ70+(1-EXP(-LN(2)/25))/(LN(2)/25)*Calculateur!BL71*Calculateur!BN71*VLOOKUP('Données projet'!$B$11,Paramètres!$A$1:$I$89,3,0)*0.475*44/12</f>
        <v>1.9897569114657729</v>
      </c>
      <c r="BR71" s="23">
        <f>EXP(-LN(2)/2)*BR70+(1-EXP(-LN(2)/2))/(LN(2)/2)*BL71*BO71*VLOOKUP('Données projet'!$B$11,Paramètres!$A$1:$I$89,3,0)*0.475*44/12</f>
        <v>4.4142647586350694E-6</v>
      </c>
      <c r="BS71" s="24">
        <f t="shared" si="63"/>
        <v>3.4067708659047695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-2.2737367544323206E-13</v>
      </c>
      <c r="BZ71" s="14">
        <f>BY71*VLOOKUP('Données projet'!$B$12,Paramètres!$A$1:$I$89,3,0)*VLOOKUP('Données projet'!$B$12,Paramètres!$A$1:$I$89,5,0)</f>
        <v>-1.4897523215040565E-13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211.95495599943246</v>
      </c>
      <c r="CE71" s="62">
        <f t="shared" si="94"/>
        <v>270.47407508916842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1.1745353850749116</v>
      </c>
      <c r="CL71" s="23">
        <f>EXP(-LN(2)/25)*CL70+(1-EXP(-LN(2)/25))/(LN(2)/25)*Calculateur!CG71*Calculateur!CI71*VLOOKUP('Données projet'!$B$12,Paramètres!$A$1:$I$89,3,0)*0.475*44/12</f>
        <v>5.9706651859610202</v>
      </c>
      <c r="CM71" s="23">
        <f>EXP(-LN(2)/2)*CM70+(1-EXP(-LN(2)/2))/(LN(2)/2)*CG71*CJ71*VLOOKUP('Données projet'!$B$12,Paramètres!$A$1:$I$89,3,0)*0.475*44/12</f>
        <v>2.408483557375658E-5</v>
      </c>
      <c r="CN71" s="24">
        <f t="shared" si="66"/>
        <v>7.1452246558715062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-4.5474735088646412E-13</v>
      </c>
      <c r="O72" s="14">
        <f>N72*VLOOKUP('Données projet'!$B$9,Paramètres!$A$1:$I$89,3,0)*VLOOKUP('Données projet'!$B$9,Paramètres!$A$1:$I$89,5,0)</f>
        <v>-2.5420376914553347E-13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446.5364328843699</v>
      </c>
      <c r="T72" s="62">
        <f t="shared" si="88"/>
        <v>559.96606361482179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2.5252543359979644</v>
      </c>
      <c r="AA72" s="23">
        <f>EXP(-LN(2)/25)*AA71+(1-EXP(-LN(2)/25))/(LN(2)/25)*Calculateur!V72*Calculateur!X72*VLOOKUP('Données projet'!$B$9,Paramètres!$A$1:$I$89,3,0)*0.475*44/12</f>
        <v>3.6528801819109615</v>
      </c>
      <c r="AB72" s="23">
        <f>EXP(-LN(2)/2)*AB71+(1-EXP(-LN(2)/2))/(LN(2)/2)*V72*Y72*VLOOKUP('Données projet'!$B$9,Paramètres!$A$1:$I$89,3,0)*0.475*44/12</f>
        <v>1.765697760790194E-5</v>
      </c>
      <c r="AC72" s="24">
        <f t="shared" si="57"/>
        <v>6.1781521748865345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-3.1036506698001178E-14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164.0740581424559</v>
      </c>
      <c r="AO72" s="62">
        <f t="shared" si="90"/>
        <v>280.99861170359793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7.571552284827348</v>
      </c>
      <c r="AV72" s="23">
        <f>EXP(-LN(2)/25)*AV71+(1-EXP(-LN(2)/25))/(LN(2)/25)*Calculateur!AQ72*Calculateur!AS72*VLOOKUP('Données projet'!$B$10,Paramètres!$A$1:$I$89,3,0)*0.475*44/12</f>
        <v>12.894381702950412</v>
      </c>
      <c r="AW72" s="23">
        <f>EXP(-LN(2)/2)*AW71+(1-EXP(-LN(2)/2))/(LN(2)/2)*AQ72*AT72*VLOOKUP('Données projet'!$B$10,Paramètres!$A$1:$I$89,3,0)*0.475*44/12</f>
        <v>2.2033522904460011E-5</v>
      </c>
      <c r="AX72" s="23">
        <f t="shared" si="60"/>
        <v>20.465956021300663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8.5265128291212022E-14</v>
      </c>
      <c r="BE72" s="14">
        <f>BD72*VLOOKUP('Données projet'!$B$11,Paramètres!$A$1:$I$89,3,0)*VLOOKUP('Données projet'!$B$11,Paramètres!$A$1:$I$89,5,0)</f>
        <v>3.990408004028723E-14</v>
      </c>
      <c r="BF72" s="14">
        <f t="shared" si="91"/>
        <v>6.6713074187844705E-13</v>
      </c>
      <c r="BG72" s="22">
        <f t="shared" si="61"/>
        <v>1.2314189815084623E-12</v>
      </c>
      <c r="BH72" s="62">
        <f t="shared" si="62"/>
        <v>293.33333333333456</v>
      </c>
      <c r="BI72" s="62">
        <f ca="1">AVERAGE(OFFSET($BH$3,0,0,'Données projet'!$E$11+1,1))-AVERAGE(OFFSET($H$3,0,0,'Données projet'!$E$11+1,1))</f>
        <v>90.829393941874685</v>
      </c>
      <c r="BJ72" s="62">
        <f t="shared" si="92"/>
        <v>113.5315547498717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1.3892228473818991</v>
      </c>
      <c r="BQ72" s="23">
        <f>EXP(-LN(2)/25)*BQ71+(1-EXP(-LN(2)/25))/(LN(2)/25)*Calculateur!BL72*Calculateur!BN72*VLOOKUP('Données projet'!$B$11,Paramètres!$A$1:$I$89,3,0)*0.475*44/12</f>
        <v>1.9353469040849731</v>
      </c>
      <c r="BR72" s="23">
        <f>EXP(-LN(2)/2)*BR71+(1-EXP(-LN(2)/2))/(LN(2)/2)*BL72*BO72*VLOOKUP('Données projet'!$B$11,Paramètres!$A$1:$I$89,3,0)*0.475*44/12</f>
        <v>3.121356544783656E-6</v>
      </c>
      <c r="BS72" s="24">
        <f t="shared" si="63"/>
        <v>3.324572872823417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-2.2737367544323206E-13</v>
      </c>
      <c r="BZ72" s="14">
        <f>BY72*VLOOKUP('Données projet'!$B$12,Paramètres!$A$1:$I$89,3,0)*VLOOKUP('Données projet'!$B$12,Paramètres!$A$1:$I$89,5,0)</f>
        <v>-1.4897523215040565E-13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211.95495599943246</v>
      </c>
      <c r="CE72" s="62">
        <f t="shared" si="94"/>
        <v>270.47407508916842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1.1515034625694394</v>
      </c>
      <c r="CL72" s="23">
        <f>EXP(-LN(2)/25)*CL71+(1-EXP(-LN(2)/25))/(LN(2)/25)*Calculateur!CG72*Calculateur!CI72*VLOOKUP('Données projet'!$B$12,Paramètres!$A$1:$I$89,3,0)*0.475*44/12</f>
        <v>5.8073970324672803</v>
      </c>
      <c r="CM72" s="23">
        <f>EXP(-LN(2)/2)*CM71+(1-EXP(-LN(2)/2))/(LN(2)/2)*CG72*CJ72*VLOOKUP('Données projet'!$B$12,Paramètres!$A$1:$I$89,3,0)*0.475*44/12</f>
        <v>1.703055055796627E-5</v>
      </c>
      <c r="CN72" s="24">
        <f t="shared" si="66"/>
        <v>6.9589175255872782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-4.5474735088646412E-13</v>
      </c>
      <c r="O73" s="14">
        <f>N73*VLOOKUP('Données projet'!$B$9,Paramètres!$A$1:$I$89,3,0)*VLOOKUP('Données projet'!$B$9,Paramètres!$A$1:$I$89,5,0)</f>
        <v>-2.5420376914553347E-13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446.5364328843699</v>
      </c>
      <c r="T73" s="62">
        <f t="shared" si="88"/>
        <v>559.96606361482179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2.4757356387221021</v>
      </c>
      <c r="AA73" s="23">
        <f>EXP(-LN(2)/25)*AA72+(1-EXP(-LN(2)/25))/(LN(2)/25)*Calculateur!V73*Calculateur!X73*VLOOKUP('Données projet'!$B$9,Paramètres!$A$1:$I$89,3,0)*0.475*44/12</f>
        <v>3.5529919812399862</v>
      </c>
      <c r="AB73" s="23">
        <f>EXP(-LN(2)/2)*AB72+(1-EXP(-LN(2)/2))/(LN(2)/2)*V73*Y73*VLOOKUP('Données projet'!$B$9,Paramètres!$A$1:$I$89,3,0)*0.475*44/12</f>
        <v>1.2485368601806487E-5</v>
      </c>
      <c r="AC73" s="24">
        <f t="shared" si="57"/>
        <v>6.0287401053306908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-3.1036506698001178E-14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164.0740581424559</v>
      </c>
      <c r="AO73" s="62">
        <f t="shared" si="90"/>
        <v>280.99861170359793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7.4230787627127688</v>
      </c>
      <c r="AV73" s="23">
        <f>EXP(-LN(2)/25)*AV72+(1-EXP(-LN(2)/25))/(LN(2)/25)*Calculateur!AQ73*Calculateur!AS73*VLOOKUP('Données projet'!$B$10,Paramètres!$A$1:$I$89,3,0)*0.475*44/12</f>
        <v>12.541784157197169</v>
      </c>
      <c r="AW73" s="23">
        <f>EXP(-LN(2)/2)*AW72+(1-EXP(-LN(2)/2))/(LN(2)/2)*AQ73*AT73*VLOOKUP('Données projet'!$B$10,Paramètres!$A$1:$I$89,3,0)*0.475*44/12</f>
        <v>1.5580053459172788E-5</v>
      </c>
      <c r="AX73" s="23">
        <f t="shared" si="60"/>
        <v>19.964878499963397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8.5265128291212022E-14</v>
      </c>
      <c r="BE73" s="14">
        <f>BD73*VLOOKUP('Données projet'!$B$11,Paramètres!$A$1:$I$89,3,0)*VLOOKUP('Données projet'!$B$11,Paramètres!$A$1:$I$89,5,0)</f>
        <v>3.990408004028723E-14</v>
      </c>
      <c r="BF73" s="14">
        <f t="shared" si="91"/>
        <v>6.6713074187844705E-13</v>
      </c>
      <c r="BG73" s="22">
        <f t="shared" si="61"/>
        <v>1.2314189815084623E-12</v>
      </c>
      <c r="BH73" s="62">
        <f t="shared" si="62"/>
        <v>293.33333333333456</v>
      </c>
      <c r="BI73" s="62">
        <f ca="1">AVERAGE(OFFSET($BH$3,0,0,'Données projet'!$E$11+1,1))-AVERAGE(OFFSET($H$3,0,0,'Données projet'!$E$11+1,1))</f>
        <v>90.829393941874685</v>
      </c>
      <c r="BJ73" s="62">
        <f t="shared" si="92"/>
        <v>113.5315547498717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1.3619810346870087</v>
      </c>
      <c r="BQ73" s="23">
        <f>EXP(-LN(2)/25)*BQ72+(1-EXP(-LN(2)/25))/(LN(2)/25)*Calculateur!BL73*Calculateur!BN73*VLOOKUP('Données projet'!$B$11,Paramètres!$A$1:$I$89,3,0)*0.475*44/12</f>
        <v>1.8824247412172992</v>
      </c>
      <c r="BR73" s="23">
        <f>EXP(-LN(2)/2)*BR72+(1-EXP(-LN(2)/2))/(LN(2)/2)*BL73*BO73*VLOOKUP('Données projet'!$B$11,Paramètres!$A$1:$I$89,3,0)*0.475*44/12</f>
        <v>2.2071323793175347E-6</v>
      </c>
      <c r="BS73" s="24">
        <f t="shared" si="63"/>
        <v>3.2444079830366874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-2.2737367544323206E-13</v>
      </c>
      <c r="BZ73" s="14">
        <f>BY73*VLOOKUP('Données projet'!$B$12,Paramètres!$A$1:$I$89,3,0)*VLOOKUP('Données projet'!$B$12,Paramètres!$A$1:$I$89,5,0)</f>
        <v>-1.4897523215040565E-13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211.95495599943246</v>
      </c>
      <c r="CE73" s="62">
        <f t="shared" si="94"/>
        <v>270.47407508916842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1.1289231820162138</v>
      </c>
      <c r="CL73" s="23">
        <f>EXP(-LN(2)/25)*CL72+(1-EXP(-LN(2)/25))/(LN(2)/25)*Calculateur!CG73*Calculateur!CI73*VLOOKUP('Données projet'!$B$12,Paramètres!$A$1:$I$89,3,0)*0.475*44/12</f>
        <v>5.6485934552167256</v>
      </c>
      <c r="CM73" s="23">
        <f>EXP(-LN(2)/2)*CM72+(1-EXP(-LN(2)/2))/(LN(2)/2)*CG73*CJ73*VLOOKUP('Données projet'!$B$12,Paramètres!$A$1:$I$89,3,0)*0.475*44/12</f>
        <v>1.204241778687829E-5</v>
      </c>
      <c r="CN73" s="24">
        <f t="shared" si="66"/>
        <v>6.7775286796507261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-4.5474735088646412E-13</v>
      </c>
      <c r="O74" s="14">
        <f>N74*VLOOKUP('Données projet'!$B$9,Paramètres!$A$1:$I$89,3,0)*VLOOKUP('Données projet'!$B$9,Paramètres!$A$1:$I$89,5,0)</f>
        <v>-2.5420376914553347E-13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446.5364328843699</v>
      </c>
      <c r="T74" s="62">
        <f t="shared" si="88"/>
        <v>559.96606361482179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2.4271879728963963</v>
      </c>
      <c r="AA74" s="23">
        <f>EXP(-LN(2)/25)*AA73+(1-EXP(-LN(2)/25))/(LN(2)/25)*Calculateur!V74*Calculateur!X74*VLOOKUP('Données projet'!$B$9,Paramètres!$A$1:$I$89,3,0)*0.475*44/12</f>
        <v>3.4558352286692511</v>
      </c>
      <c r="AB74" s="23">
        <f>EXP(-LN(2)/2)*AB73+(1-EXP(-LN(2)/2))/(LN(2)/2)*V74*Y74*VLOOKUP('Données projet'!$B$9,Paramètres!$A$1:$I$89,3,0)*0.475*44/12</f>
        <v>8.8284888039509702E-6</v>
      </c>
      <c r="AC74" s="24">
        <f t="shared" si="57"/>
        <v>5.8830320300544514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-3.1036506698001178E-14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164.0740581424559</v>
      </c>
      <c r="AO74" s="62">
        <f t="shared" si="90"/>
        <v>280.99861170359793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7.27751671580695</v>
      </c>
      <c r="AV74" s="23">
        <f>EXP(-LN(2)/25)*AV73+(1-EXP(-LN(2)/25))/(LN(2)/25)*Calculateur!AQ74*Calculateur!AS74*VLOOKUP('Données projet'!$B$10,Paramètres!$A$1:$I$89,3,0)*0.475*44/12</f>
        <v>12.198828409874848</v>
      </c>
      <c r="AW74" s="23">
        <f>EXP(-LN(2)/2)*AW73+(1-EXP(-LN(2)/2))/(LN(2)/2)*AQ74*AT74*VLOOKUP('Données projet'!$B$10,Paramètres!$A$1:$I$89,3,0)*0.475*44/12</f>
        <v>1.1016761452230006E-5</v>
      </c>
      <c r="AX74" s="23">
        <f t="shared" si="60"/>
        <v>19.476356142443247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8.5265128291212022E-14</v>
      </c>
      <c r="BE74" s="14">
        <f>BD74*VLOOKUP('Données projet'!$B$11,Paramètres!$A$1:$I$89,3,0)*VLOOKUP('Données projet'!$B$11,Paramètres!$A$1:$I$89,5,0)</f>
        <v>3.990408004028723E-14</v>
      </c>
      <c r="BF74" s="14">
        <f t="shared" si="91"/>
        <v>6.6713074187844705E-13</v>
      </c>
      <c r="BG74" s="22">
        <f t="shared" si="61"/>
        <v>1.2314189815084623E-12</v>
      </c>
      <c r="BH74" s="62">
        <f t="shared" si="62"/>
        <v>293.33333333333456</v>
      </c>
      <c r="BI74" s="62">
        <f ca="1">AVERAGE(OFFSET($BH$3,0,0,'Données projet'!$E$11+1,1))-AVERAGE(OFFSET($H$3,0,0,'Données projet'!$E$11+1,1))</f>
        <v>90.829393941874685</v>
      </c>
      <c r="BJ74" s="62">
        <f t="shared" si="92"/>
        <v>113.5315547498717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1.3352734173232002</v>
      </c>
      <c r="BQ74" s="23">
        <f>EXP(-LN(2)/25)*BQ73+(1-EXP(-LN(2)/25))/(LN(2)/25)*Calculateur!BL74*Calculateur!BN74*VLOOKUP('Données projet'!$B$11,Paramètres!$A$1:$I$89,3,0)*0.475*44/12</f>
        <v>1.8309497376762973</v>
      </c>
      <c r="BR74" s="23">
        <f>EXP(-LN(2)/2)*BR73+(1-EXP(-LN(2)/2))/(LN(2)/2)*BL74*BO74*VLOOKUP('Données projet'!$B$11,Paramètres!$A$1:$I$89,3,0)*0.475*44/12</f>
        <v>1.560678272391828E-6</v>
      </c>
      <c r="BS74" s="24">
        <f t="shared" si="63"/>
        <v>3.1662247156777696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-2.2737367544323206E-13</v>
      </c>
      <c r="BZ74" s="14">
        <f>BY74*VLOOKUP('Données projet'!$B$12,Paramètres!$A$1:$I$89,3,0)*VLOOKUP('Données projet'!$B$12,Paramètres!$A$1:$I$89,5,0)</f>
        <v>-1.4897523215040565E-13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211.95495599943246</v>
      </c>
      <c r="CE74" s="62">
        <f t="shared" si="94"/>
        <v>270.47407508916842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1.1067856869920256</v>
      </c>
      <c r="CL74" s="23">
        <f>EXP(-LN(2)/25)*CL73+(1-EXP(-LN(2)/25))/(LN(2)/25)*Calculateur!CG74*Calculateur!CI74*VLOOKUP('Données projet'!$B$12,Paramètres!$A$1:$I$89,3,0)*0.475*44/12</f>
        <v>5.4941323701372049</v>
      </c>
      <c r="CM74" s="23">
        <f>EXP(-LN(2)/2)*CM73+(1-EXP(-LN(2)/2))/(LN(2)/2)*CG74*CJ74*VLOOKUP('Données projet'!$B$12,Paramètres!$A$1:$I$89,3,0)*0.475*44/12</f>
        <v>8.515275278983135E-6</v>
      </c>
      <c r="CN74" s="24">
        <f t="shared" si="66"/>
        <v>6.600926572404509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-4.5474735088646412E-13</v>
      </c>
      <c r="O75" s="14">
        <f>N75*VLOOKUP('Données projet'!$B$9,Paramètres!$A$1:$I$89,3,0)*VLOOKUP('Données projet'!$B$9,Paramètres!$A$1:$I$89,5,0)</f>
        <v>-2.5420376914553347E-13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446.5364328843699</v>
      </c>
      <c r="T75" s="62">
        <f t="shared" si="88"/>
        <v>559.96606361482179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2.3795922971863801</v>
      </c>
      <c r="AA75" s="23">
        <f>EXP(-LN(2)/25)*AA74+(1-EXP(-LN(2)/25))/(LN(2)/25)*Calculateur!V75*Calculateur!X75*VLOOKUP('Données projet'!$B$9,Paramètres!$A$1:$I$89,3,0)*0.475*44/12</f>
        <v>3.3613352326068142</v>
      </c>
      <c r="AB75" s="23">
        <f>EXP(-LN(2)/2)*AB74+(1-EXP(-LN(2)/2))/(LN(2)/2)*V75*Y75*VLOOKUP('Données projet'!$B$9,Paramètres!$A$1:$I$89,3,0)*0.475*44/12</f>
        <v>6.2426843009032435E-6</v>
      </c>
      <c r="AC75" s="24">
        <f t="shared" si="57"/>
        <v>5.7409337724774954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-3.1036506698001178E-14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164.0740581424559</v>
      </c>
      <c r="AO75" s="62">
        <f t="shared" si="90"/>
        <v>280.99861170359793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7.1348090518568723</v>
      </c>
      <c r="AV75" s="23">
        <f>EXP(-LN(2)/25)*AV74+(1-EXP(-LN(2)/25))/(LN(2)/25)*Calculateur!AQ75*Calculateur!AS75*VLOOKUP('Données projet'!$B$10,Paramètres!$A$1:$I$89,3,0)*0.475*44/12</f>
        <v>11.865250805498315</v>
      </c>
      <c r="AW75" s="23">
        <f>EXP(-LN(2)/2)*AW74+(1-EXP(-LN(2)/2))/(LN(2)/2)*AQ75*AT75*VLOOKUP('Données projet'!$B$10,Paramètres!$A$1:$I$89,3,0)*0.475*44/12</f>
        <v>7.790026729586394E-6</v>
      </c>
      <c r="AX75" s="23">
        <f t="shared" si="60"/>
        <v>19.000067647381915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8.5265128291212022E-14</v>
      </c>
      <c r="BE75" s="14">
        <f>BD75*VLOOKUP('Données projet'!$B$11,Paramètres!$A$1:$I$89,3,0)*VLOOKUP('Données projet'!$B$11,Paramètres!$A$1:$I$89,5,0)</f>
        <v>3.990408004028723E-14</v>
      </c>
      <c r="BF75" s="14">
        <f t="shared" si="91"/>
        <v>6.6713074187844705E-13</v>
      </c>
      <c r="BG75" s="22">
        <f t="shared" si="61"/>
        <v>1.2314189815084623E-12</v>
      </c>
      <c r="BH75" s="62">
        <f t="shared" si="62"/>
        <v>293.33333333333456</v>
      </c>
      <c r="BI75" s="62">
        <f ca="1">AVERAGE(OFFSET($BH$3,0,0,'Données projet'!$E$11+1,1))-AVERAGE(OFFSET($H$3,0,0,'Données projet'!$E$11+1,1))</f>
        <v>90.829393941874685</v>
      </c>
      <c r="BJ75" s="62">
        <f t="shared" si="92"/>
        <v>113.5315547498717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1.3090895200458579</v>
      </c>
      <c r="BQ75" s="23">
        <f>EXP(-LN(2)/25)*BQ74+(1-EXP(-LN(2)/25))/(LN(2)/25)*Calculateur!BL75*Calculateur!BN75*VLOOKUP('Données projet'!$B$11,Paramètres!$A$1:$I$89,3,0)*0.475*44/12</f>
        <v>1.7808823208140769</v>
      </c>
      <c r="BR75" s="23">
        <f>EXP(-LN(2)/2)*BR74+(1-EXP(-LN(2)/2))/(LN(2)/2)*BL75*BO75*VLOOKUP('Données projet'!$B$11,Paramètres!$A$1:$I$89,3,0)*0.475*44/12</f>
        <v>1.1035661896587673E-6</v>
      </c>
      <c r="BS75" s="24">
        <f t="shared" si="63"/>
        <v>3.0899729444261244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-2.2737367544323206E-13</v>
      </c>
      <c r="BZ75" s="14">
        <f>BY75*VLOOKUP('Données projet'!$B$12,Paramètres!$A$1:$I$89,3,0)*VLOOKUP('Données projet'!$B$12,Paramètres!$A$1:$I$89,5,0)</f>
        <v>-1.4897523215040565E-13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211.95495599943246</v>
      </c>
      <c r="CE75" s="62">
        <f t="shared" si="94"/>
        <v>270.47407508916842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1.0850822947427232</v>
      </c>
      <c r="CL75" s="23">
        <f>EXP(-LN(2)/25)*CL74+(1-EXP(-LN(2)/25))/(LN(2)/25)*Calculateur!CG75*Calculateur!CI75*VLOOKUP('Données projet'!$B$12,Paramètres!$A$1:$I$89,3,0)*0.475*44/12</f>
        <v>5.3438950315519387</v>
      </c>
      <c r="CM75" s="23">
        <f>EXP(-LN(2)/2)*CM74+(1-EXP(-LN(2)/2))/(LN(2)/2)*CG75*CJ75*VLOOKUP('Données projet'!$B$12,Paramètres!$A$1:$I$89,3,0)*0.475*44/12</f>
        <v>6.0212088934391451E-6</v>
      </c>
      <c r="CN75" s="24">
        <f t="shared" si="66"/>
        <v>6.4289833475035554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-4.5474735088646412E-13</v>
      </c>
      <c r="O76" s="14">
        <f>N76*VLOOKUP('Données projet'!$B$9,Paramètres!$A$1:$I$89,3,0)*VLOOKUP('Données projet'!$B$9,Paramètres!$A$1:$I$89,5,0)</f>
        <v>-2.5420376914553347E-13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446.5364328843699</v>
      </c>
      <c r="T76" s="62">
        <f t="shared" si="88"/>
        <v>559.96606361482179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2.3329299436465418</v>
      </c>
      <c r="AA76" s="23">
        <f>EXP(-LN(2)/25)*AA75+(1-EXP(-LN(2)/25))/(LN(2)/25)*Calculateur!V76*Calculateur!X76*VLOOKUP('Données projet'!$B$9,Paramètres!$A$1:$I$89,3,0)*0.475*44/12</f>
        <v>3.2694193439062436</v>
      </c>
      <c r="AB76" s="23">
        <f>EXP(-LN(2)/2)*AB75+(1-EXP(-LN(2)/2))/(LN(2)/2)*V76*Y76*VLOOKUP('Données projet'!$B$9,Paramètres!$A$1:$I$89,3,0)*0.475*44/12</f>
        <v>4.4142444019754851E-6</v>
      </c>
      <c r="AC76" s="24">
        <f t="shared" si="57"/>
        <v>5.6023537017971874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-3.1036506698001178E-14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164.0740581424559</v>
      </c>
      <c r="AO76" s="62">
        <f t="shared" si="90"/>
        <v>280.99861170359793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6.9948997981537762</v>
      </c>
      <c r="AV76" s="23">
        <f>EXP(-LN(2)/25)*AV75+(1-EXP(-LN(2)/25))/(LN(2)/25)*Calculateur!AQ76*Calculateur!AS76*VLOOKUP('Données projet'!$B$10,Paramètres!$A$1:$I$89,3,0)*0.475*44/12</f>
        <v>11.540794898255541</v>
      </c>
      <c r="AW76" s="23">
        <f>EXP(-LN(2)/2)*AW75+(1-EXP(-LN(2)/2))/(LN(2)/2)*AQ76*AT76*VLOOKUP('Données projet'!$B$10,Paramètres!$A$1:$I$89,3,0)*0.475*44/12</f>
        <v>5.5083807261150028E-6</v>
      </c>
      <c r="AX76" s="23">
        <f t="shared" si="60"/>
        <v>18.535700204790043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8.5265128291212022E-14</v>
      </c>
      <c r="BE76" s="14">
        <f>BD76*VLOOKUP('Données projet'!$B$11,Paramètres!$A$1:$I$89,3,0)*VLOOKUP('Données projet'!$B$11,Paramètres!$A$1:$I$89,5,0)</f>
        <v>3.990408004028723E-14</v>
      </c>
      <c r="BF76" s="14">
        <f t="shared" si="91"/>
        <v>6.6713074187844705E-13</v>
      </c>
      <c r="BG76" s="22">
        <f t="shared" si="61"/>
        <v>1.2314189815084623E-12</v>
      </c>
      <c r="BH76" s="62">
        <f t="shared" si="62"/>
        <v>293.33333333333456</v>
      </c>
      <c r="BI76" s="62">
        <f ca="1">AVERAGE(OFFSET($BH$3,0,0,'Données projet'!$E$11+1,1))-AVERAGE(OFFSET($H$3,0,0,'Données projet'!$E$11+1,1))</f>
        <v>90.829393941874685</v>
      </c>
      <c r="BJ76" s="62">
        <f t="shared" si="92"/>
        <v>113.5315547498717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1.283419073023524</v>
      </c>
      <c r="BQ76" s="23">
        <f>EXP(-LN(2)/25)*BQ75+(1-EXP(-LN(2)/25))/(LN(2)/25)*Calculateur!BL76*Calculateur!BN76*VLOOKUP('Données projet'!$B$11,Paramètres!$A$1:$I$89,3,0)*0.475*44/12</f>
        <v>1.7321840000988851</v>
      </c>
      <c r="BR76" s="23">
        <f>EXP(-LN(2)/2)*BR75+(1-EXP(-LN(2)/2))/(LN(2)/2)*BL76*BO76*VLOOKUP('Données projet'!$B$11,Paramètres!$A$1:$I$89,3,0)*0.475*44/12</f>
        <v>7.8033913619591401E-7</v>
      </c>
      <c r="BS76" s="24">
        <f t="shared" si="63"/>
        <v>3.015603853461545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-2.2737367544323206E-13</v>
      </c>
      <c r="BZ76" s="14">
        <f>BY76*VLOOKUP('Données projet'!$B$12,Paramètres!$A$1:$I$89,3,0)*VLOOKUP('Données projet'!$B$12,Paramètres!$A$1:$I$89,5,0)</f>
        <v>-1.4897523215040565E-13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211.95495599943246</v>
      </c>
      <c r="CE76" s="62">
        <f t="shared" si="94"/>
        <v>270.47407508916842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1.0638044927776675</v>
      </c>
      <c r="CL76" s="23">
        <f>EXP(-LN(2)/25)*CL75+(1-EXP(-LN(2)/25))/(LN(2)/25)*Calculateur!CG76*Calculateur!CI76*VLOOKUP('Données projet'!$B$12,Paramètres!$A$1:$I$89,3,0)*0.475*44/12</f>
        <v>5.1977659408909247</v>
      </c>
      <c r="CM76" s="23">
        <f>EXP(-LN(2)/2)*CM75+(1-EXP(-LN(2)/2))/(LN(2)/2)*CG76*CJ76*VLOOKUP('Données projet'!$B$12,Paramètres!$A$1:$I$89,3,0)*0.475*44/12</f>
        <v>4.2576376394915675E-6</v>
      </c>
      <c r="CN76" s="24">
        <f t="shared" si="66"/>
        <v>6.2615746913062322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-4.5474735088646412E-13</v>
      </c>
      <c r="O77" s="14">
        <f>N77*VLOOKUP('Données projet'!$B$9,Paramètres!$A$1:$I$89,3,0)*VLOOKUP('Données projet'!$B$9,Paramètres!$A$1:$I$89,5,0)</f>
        <v>-2.5420376914553347E-13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446.5364328843699</v>
      </c>
      <c r="T77" s="62">
        <f t="shared" si="88"/>
        <v>559.96606361482179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2.2871826103983945</v>
      </c>
      <c r="AA77" s="23">
        <f>EXP(-LN(2)/25)*AA76+(1-EXP(-LN(2)/25))/(LN(2)/25)*Calculateur!V77*Calculateur!X77*VLOOKUP('Données projet'!$B$9,Paramètres!$A$1:$I$89,3,0)*0.475*44/12</f>
        <v>3.1800169000158363</v>
      </c>
      <c r="AB77" s="23">
        <f>EXP(-LN(2)/2)*AB76+(1-EXP(-LN(2)/2))/(LN(2)/2)*V77*Y77*VLOOKUP('Données projet'!$B$9,Paramètres!$A$1:$I$89,3,0)*0.475*44/12</f>
        <v>3.1213421504516218E-6</v>
      </c>
      <c r="AC77" s="24">
        <f t="shared" si="57"/>
        <v>5.4672026317563809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-3.1036506698001178E-14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164.0740581424559</v>
      </c>
      <c r="AO77" s="62">
        <f t="shared" si="90"/>
        <v>280.99861170359793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6.8577340795795791</v>
      </c>
      <c r="AV77" s="23">
        <f>EXP(-LN(2)/25)*AV76+(1-EXP(-LN(2)/25))/(LN(2)/25)*Calculateur!AQ77*Calculateur!AS77*VLOOKUP('Données projet'!$B$10,Paramètres!$A$1:$I$89,3,0)*0.475*44/12</f>
        <v>11.225211254858717</v>
      </c>
      <c r="AW77" s="23">
        <f>EXP(-LN(2)/2)*AW76+(1-EXP(-LN(2)/2))/(LN(2)/2)*AQ77*AT77*VLOOKUP('Données projet'!$B$10,Paramètres!$A$1:$I$89,3,0)*0.475*44/12</f>
        <v>3.895013364793197E-6</v>
      </c>
      <c r="AX77" s="23">
        <f t="shared" si="60"/>
        <v>18.08294922945166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8.5265128291212022E-14</v>
      </c>
      <c r="BE77" s="14">
        <f>BD77*VLOOKUP('Données projet'!$B$11,Paramètres!$A$1:$I$89,3,0)*VLOOKUP('Données projet'!$B$11,Paramètres!$A$1:$I$89,5,0)</f>
        <v>3.990408004028723E-14</v>
      </c>
      <c r="BF77" s="14">
        <f t="shared" si="91"/>
        <v>6.6713074187844705E-13</v>
      </c>
      <c r="BG77" s="22">
        <f t="shared" si="61"/>
        <v>1.2314189815084623E-12</v>
      </c>
      <c r="BH77" s="62">
        <f t="shared" si="62"/>
        <v>293.33333333333456</v>
      </c>
      <c r="BI77" s="62">
        <f ca="1">AVERAGE(OFFSET($BH$3,0,0,'Données projet'!$E$11+1,1))-AVERAGE(OFFSET($H$3,0,0,'Données projet'!$E$11+1,1))</f>
        <v>90.829393941874685</v>
      </c>
      <c r="BJ77" s="62">
        <f t="shared" si="92"/>
        <v>113.5315547498717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1.2582520078098713</v>
      </c>
      <c r="BQ77" s="23">
        <f>EXP(-LN(2)/25)*BQ76+(1-EXP(-LN(2)/25))/(LN(2)/25)*Calculateur!BL77*Calculateur!BN77*VLOOKUP('Données projet'!$B$11,Paramètres!$A$1:$I$89,3,0)*0.475*44/12</f>
        <v>1.6848173375245834</v>
      </c>
      <c r="BR77" s="23">
        <f>EXP(-LN(2)/2)*BR76+(1-EXP(-LN(2)/2))/(LN(2)/2)*BL77*BO77*VLOOKUP('Données projet'!$B$11,Paramètres!$A$1:$I$89,3,0)*0.475*44/12</f>
        <v>5.5178309482938367E-7</v>
      </c>
      <c r="BS77" s="24">
        <f t="shared" si="63"/>
        <v>2.9430698971175495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-2.2737367544323206E-13</v>
      </c>
      <c r="BZ77" s="14">
        <f>BY77*VLOOKUP('Données projet'!$B$12,Paramètres!$A$1:$I$89,3,0)*VLOOKUP('Données projet'!$B$12,Paramètres!$A$1:$I$89,5,0)</f>
        <v>-1.4897523215040565E-13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211.95495599943246</v>
      </c>
      <c r="CE77" s="62">
        <f t="shared" si="94"/>
        <v>270.47407508916842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1.0429439355309689</v>
      </c>
      <c r="CL77" s="23">
        <f>EXP(-LN(2)/25)*CL76+(1-EXP(-LN(2)/25))/(LN(2)/25)*Calculateur!CG77*Calculateur!CI77*VLOOKUP('Données projet'!$B$12,Paramètres!$A$1:$I$89,3,0)*0.475*44/12</f>
        <v>5.0556327578986311</v>
      </c>
      <c r="CM77" s="23">
        <f>EXP(-LN(2)/2)*CM76+(1-EXP(-LN(2)/2))/(LN(2)/2)*CG77*CJ77*VLOOKUP('Données projet'!$B$12,Paramètres!$A$1:$I$89,3,0)*0.475*44/12</f>
        <v>3.0106044467195725E-6</v>
      </c>
      <c r="CN77" s="24">
        <f t="shared" si="66"/>
        <v>6.0985797040340461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-4.5474735088646412E-13</v>
      </c>
      <c r="O78" s="14">
        <f>N78*VLOOKUP('Données projet'!$B$9,Paramètres!$A$1:$I$89,3,0)*VLOOKUP('Données projet'!$B$9,Paramètres!$A$1:$I$89,5,0)</f>
        <v>-2.5420376914553347E-13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446.5364328843699</v>
      </c>
      <c r="T78" s="62">
        <f t="shared" si="88"/>
        <v>559.96606361482179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2.2423323544521252</v>
      </c>
      <c r="AA78" s="23">
        <f>EXP(-LN(2)/25)*AA77+(1-EXP(-LN(2)/25))/(LN(2)/25)*Calculateur!V78*Calculateur!X78*VLOOKUP('Données projet'!$B$9,Paramètres!$A$1:$I$89,3,0)*0.475*44/12</f>
        <v>3.0930591706550823</v>
      </c>
      <c r="AB78" s="23">
        <f>EXP(-LN(2)/2)*AB77+(1-EXP(-LN(2)/2))/(LN(2)/2)*V78*Y78*VLOOKUP('Données projet'!$B$9,Paramètres!$A$1:$I$89,3,0)*0.475*44/12</f>
        <v>2.2071222009877426E-6</v>
      </c>
      <c r="AC78" s="24">
        <f t="shared" si="57"/>
        <v>5.3353937322294076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-3.1036506698001178E-14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164.0740581424559</v>
      </c>
      <c r="AO78" s="62">
        <f t="shared" si="90"/>
        <v>280.99861170359793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6.7232580970837947</v>
      </c>
      <c r="AV78" s="23">
        <f>EXP(-LN(2)/25)*AV77+(1-EXP(-LN(2)/25))/(LN(2)/25)*Calculateur!AQ78*Calculateur!AS78*VLOOKUP('Données projet'!$B$10,Paramètres!$A$1:$I$89,3,0)*0.475*44/12</f>
        <v>10.918257262786401</v>
      </c>
      <c r="AW78" s="23">
        <f>EXP(-LN(2)/2)*AW77+(1-EXP(-LN(2)/2))/(LN(2)/2)*AQ78*AT78*VLOOKUP('Données projet'!$B$10,Paramètres!$A$1:$I$89,3,0)*0.475*44/12</f>
        <v>2.7541903630575014E-6</v>
      </c>
      <c r="AX78" s="23">
        <f t="shared" si="60"/>
        <v>17.64151811406056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8.5265128291212022E-14</v>
      </c>
      <c r="BE78" s="14">
        <f>BD78*VLOOKUP('Données projet'!$B$11,Paramètres!$A$1:$I$89,3,0)*VLOOKUP('Données projet'!$B$11,Paramètres!$A$1:$I$89,5,0)</f>
        <v>3.990408004028723E-14</v>
      </c>
      <c r="BF78" s="14">
        <f t="shared" si="91"/>
        <v>6.6713074187844705E-13</v>
      </c>
      <c r="BG78" s="22">
        <f t="shared" si="61"/>
        <v>1.2314189815084623E-12</v>
      </c>
      <c r="BH78" s="62">
        <f t="shared" si="62"/>
        <v>293.33333333333456</v>
      </c>
      <c r="BI78" s="62">
        <f ca="1">AVERAGE(OFFSET($BH$3,0,0,'Données projet'!$E$11+1,1))-AVERAGE(OFFSET($H$3,0,0,'Données projet'!$E$11+1,1))</f>
        <v>90.829393941874685</v>
      </c>
      <c r="BJ78" s="62">
        <f t="shared" si="92"/>
        <v>113.5315547498717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1.2335784533946643</v>
      </c>
      <c r="BQ78" s="23">
        <f>EXP(-LN(2)/25)*BQ77+(1-EXP(-LN(2)/25))/(LN(2)/25)*Calculateur!BL78*Calculateur!BN78*VLOOKUP('Données projet'!$B$11,Paramètres!$A$1:$I$89,3,0)*0.475*44/12</f>
        <v>1.6387459188292806</v>
      </c>
      <c r="BR78" s="23">
        <f>EXP(-LN(2)/2)*BR77+(1-EXP(-LN(2)/2))/(LN(2)/2)*BL78*BO78*VLOOKUP('Données projet'!$B$11,Paramètres!$A$1:$I$89,3,0)*0.475*44/12</f>
        <v>3.90169568097957E-7</v>
      </c>
      <c r="BS78" s="24">
        <f t="shared" si="63"/>
        <v>2.8723247623935131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-2.2737367544323206E-13</v>
      </c>
      <c r="BZ78" s="14">
        <f>BY78*VLOOKUP('Données projet'!$B$12,Paramètres!$A$1:$I$89,3,0)*VLOOKUP('Données projet'!$B$12,Paramètres!$A$1:$I$89,5,0)</f>
        <v>-1.4897523215040565E-13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211.95495599943246</v>
      </c>
      <c r="CE78" s="62">
        <f t="shared" si="94"/>
        <v>270.47407508916842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1.0224924410881944</v>
      </c>
      <c r="CL78" s="23">
        <f>EXP(-LN(2)/25)*CL77+(1-EXP(-LN(2)/25))/(LN(2)/25)*Calculateur!CG78*Calculateur!CI78*VLOOKUP('Données projet'!$B$12,Paramètres!$A$1:$I$89,3,0)*0.475*44/12</f>
        <v>4.9173862142697207</v>
      </c>
      <c r="CM78" s="23">
        <f>EXP(-LN(2)/2)*CM77+(1-EXP(-LN(2)/2))/(LN(2)/2)*CG78*CJ78*VLOOKUP('Données projet'!$B$12,Paramètres!$A$1:$I$89,3,0)*0.475*44/12</f>
        <v>2.1288188197457837E-6</v>
      </c>
      <c r="CN78" s="24">
        <f t="shared" si="66"/>
        <v>5.9398807841767347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-4.5474735088646412E-13</v>
      </c>
      <c r="O79" s="14">
        <f>N79*VLOOKUP('Données projet'!$B$9,Paramètres!$A$1:$I$89,3,0)*VLOOKUP('Données projet'!$B$9,Paramètres!$A$1:$I$89,5,0)</f>
        <v>-2.5420376914553347E-13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446.5364328843699</v>
      </c>
      <c r="T79" s="62">
        <f t="shared" si="88"/>
        <v>559.96606361482179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2.1983615846690072</v>
      </c>
      <c r="AA79" s="23">
        <f>EXP(-LN(2)/25)*AA78+(1-EXP(-LN(2)/25))/(LN(2)/25)*Calculateur!V79*Calculateur!X79*VLOOKUP('Données projet'!$B$9,Paramètres!$A$1:$I$89,3,0)*0.475*44/12</f>
        <v>3.0084793049766065</v>
      </c>
      <c r="AB79" s="23">
        <f>EXP(-LN(2)/2)*AB78+(1-EXP(-LN(2)/2))/(LN(2)/2)*V79*Y79*VLOOKUP('Données projet'!$B$9,Paramètres!$A$1:$I$89,3,0)*0.475*44/12</f>
        <v>1.5606710752258109E-6</v>
      </c>
      <c r="AC79" s="24">
        <f t="shared" si="57"/>
        <v>5.2068424503166888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-3.1036506698001178E-14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164.0740581424559</v>
      </c>
      <c r="AO79" s="62">
        <f t="shared" si="90"/>
        <v>280.99861170359793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6.5914191065825021</v>
      </c>
      <c r="AV79" s="23">
        <f>EXP(-LN(2)/25)*AV78+(1-EXP(-LN(2)/25))/(LN(2)/25)*Calculateur!AQ79*Calculateur!AS79*VLOOKUP('Données projet'!$B$10,Paramètres!$A$1:$I$89,3,0)*0.475*44/12</f>
        <v>10.619696943769311</v>
      </c>
      <c r="AW79" s="23">
        <f>EXP(-LN(2)/2)*AW78+(1-EXP(-LN(2)/2))/(LN(2)/2)*AQ79*AT79*VLOOKUP('Données projet'!$B$10,Paramètres!$A$1:$I$89,3,0)*0.475*44/12</f>
        <v>1.9475066823965985E-6</v>
      </c>
      <c r="AX79" s="23">
        <f t="shared" si="60"/>
        <v>17.211117997858494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8.5265128291212022E-14</v>
      </c>
      <c r="BE79" s="14">
        <f>BD79*VLOOKUP('Données projet'!$B$11,Paramètres!$A$1:$I$89,3,0)*VLOOKUP('Données projet'!$B$11,Paramètres!$A$1:$I$89,5,0)</f>
        <v>3.990408004028723E-14</v>
      </c>
      <c r="BF79" s="14">
        <f t="shared" si="91"/>
        <v>6.6713074187844705E-13</v>
      </c>
      <c r="BG79" s="22">
        <f t="shared" si="61"/>
        <v>1.2314189815084623E-12</v>
      </c>
      <c r="BH79" s="62">
        <f t="shared" si="62"/>
        <v>293.33333333333456</v>
      </c>
      <c r="BI79" s="62">
        <f ca="1">AVERAGE(OFFSET($BH$3,0,0,'Données projet'!$E$11+1,1))-AVERAGE(OFFSET($H$3,0,0,'Données projet'!$E$11+1,1))</f>
        <v>90.829393941874685</v>
      </c>
      <c r="BJ79" s="62">
        <f t="shared" si="92"/>
        <v>113.5315547498717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1.2093887323321573</v>
      </c>
      <c r="BQ79" s="23">
        <f>EXP(-LN(2)/25)*BQ78+(1-EXP(-LN(2)/25))/(LN(2)/25)*Calculateur!BL79*Calculateur!BN79*VLOOKUP('Données projet'!$B$11,Paramètres!$A$1:$I$89,3,0)*0.475*44/12</f>
        <v>1.5939343255009915</v>
      </c>
      <c r="BR79" s="23">
        <f>EXP(-LN(2)/2)*BR78+(1-EXP(-LN(2)/2))/(LN(2)/2)*BL79*BO79*VLOOKUP('Données projet'!$B$11,Paramètres!$A$1:$I$89,3,0)*0.475*44/12</f>
        <v>2.7589154741469184E-7</v>
      </c>
      <c r="BS79" s="24">
        <f t="shared" si="63"/>
        <v>2.8033233337246961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-2.2737367544323206E-13</v>
      </c>
      <c r="BZ79" s="14">
        <f>BY79*VLOOKUP('Données projet'!$B$12,Paramètres!$A$1:$I$89,3,0)*VLOOKUP('Données projet'!$B$12,Paramètres!$A$1:$I$89,5,0)</f>
        <v>-1.4897523215040565E-13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211.95495599943246</v>
      </c>
      <c r="CE79" s="62">
        <f t="shared" si="94"/>
        <v>270.47407508916842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1.0024419879772628</v>
      </c>
      <c r="CL79" s="23">
        <f>EXP(-LN(2)/25)*CL78+(1-EXP(-LN(2)/25))/(LN(2)/25)*Calculateur!CG79*Calculateur!CI79*VLOOKUP('Données projet'!$B$12,Paramètres!$A$1:$I$89,3,0)*0.475*44/12</f>
        <v>4.7829200296464132</v>
      </c>
      <c r="CM79" s="23">
        <f>EXP(-LN(2)/2)*CM78+(1-EXP(-LN(2)/2))/(LN(2)/2)*CG79*CJ79*VLOOKUP('Données projet'!$B$12,Paramètres!$A$1:$I$89,3,0)*0.475*44/12</f>
        <v>1.5053022233597863E-6</v>
      </c>
      <c r="CN79" s="24">
        <f t="shared" si="66"/>
        <v>5.7853635229258993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-4.5474735088646412E-13</v>
      </c>
      <c r="O80" s="14">
        <f>N80*VLOOKUP('Données projet'!$B$9,Paramètres!$A$1:$I$89,3,0)*VLOOKUP('Données projet'!$B$9,Paramètres!$A$1:$I$89,5,0)</f>
        <v>-2.5420376914553347E-13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446.5364328843699</v>
      </c>
      <c r="T80" s="62">
        <f t="shared" si="88"/>
        <v>559.96606361482179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2.1552530548618147</v>
      </c>
      <c r="AA80" s="23">
        <f>EXP(-LN(2)/25)*AA79+(1-EXP(-LN(2)/25))/(LN(2)/25)*Calculateur!V80*Calculateur!X80*VLOOKUP('Données projet'!$B$9,Paramètres!$A$1:$I$89,3,0)*0.475*44/12</f>
        <v>2.9262122801729706</v>
      </c>
      <c r="AB80" s="23">
        <f>EXP(-LN(2)/2)*AB79+(1-EXP(-LN(2)/2))/(LN(2)/2)*V80*Y80*VLOOKUP('Données projet'!$B$9,Paramètres!$A$1:$I$89,3,0)*0.475*44/12</f>
        <v>1.1035611004938713E-6</v>
      </c>
      <c r="AC80" s="24">
        <f t="shared" si="57"/>
        <v>5.0814664385958856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-3.1036506698001178E-14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164.0740581424559</v>
      </c>
      <c r="AO80" s="62">
        <f t="shared" si="90"/>
        <v>280.99861170359793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6.4621653982710958</v>
      </c>
      <c r="AV80" s="23">
        <f>EXP(-LN(2)/25)*AV79+(1-EXP(-LN(2)/25))/(LN(2)/25)*Calculateur!AQ80*Calculateur!AS80*VLOOKUP('Données projet'!$B$10,Paramètres!$A$1:$I$89,3,0)*0.475*44/12</f>
        <v>10.329300772376348</v>
      </c>
      <c r="AW80" s="23">
        <f>EXP(-LN(2)/2)*AW79+(1-EXP(-LN(2)/2))/(LN(2)/2)*AQ80*AT80*VLOOKUP('Données projet'!$B$10,Paramètres!$A$1:$I$89,3,0)*0.475*44/12</f>
        <v>1.3770951815287507E-6</v>
      </c>
      <c r="AX80" s="23">
        <f t="shared" si="60"/>
        <v>16.791467547742624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8.5265128291212022E-14</v>
      </c>
      <c r="BE80" s="14">
        <f>BD80*VLOOKUP('Données projet'!$B$11,Paramètres!$A$1:$I$89,3,0)*VLOOKUP('Données projet'!$B$11,Paramètres!$A$1:$I$89,5,0)</f>
        <v>3.990408004028723E-14</v>
      </c>
      <c r="BF80" s="14">
        <f t="shared" si="91"/>
        <v>6.6713074187844705E-13</v>
      </c>
      <c r="BG80" s="22">
        <f t="shared" si="61"/>
        <v>1.2314189815084623E-12</v>
      </c>
      <c r="BH80" s="62">
        <f t="shared" si="62"/>
        <v>293.33333333333456</v>
      </c>
      <c r="BI80" s="62">
        <f ca="1">AVERAGE(OFFSET($BH$3,0,0,'Données projet'!$E$11+1,1))-AVERAGE(OFFSET($H$3,0,0,'Données projet'!$E$11+1,1))</f>
        <v>90.829393941874685</v>
      </c>
      <c r="BJ80" s="62">
        <f t="shared" si="92"/>
        <v>113.5315547498717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1.185673356945413</v>
      </c>
      <c r="BQ80" s="23">
        <f>EXP(-LN(2)/25)*BQ79+(1-EXP(-LN(2)/25))/(LN(2)/25)*Calculateur!BL80*Calculateur!BN80*VLOOKUP('Données projet'!$B$11,Paramètres!$A$1:$I$89,3,0)*0.475*44/12</f>
        <v>1.5503481075488037</v>
      </c>
      <c r="BR80" s="23">
        <f>EXP(-LN(2)/2)*BR79+(1-EXP(-LN(2)/2))/(LN(2)/2)*BL80*BO80*VLOOKUP('Données projet'!$B$11,Paramètres!$A$1:$I$89,3,0)*0.475*44/12</f>
        <v>1.950847840489785E-7</v>
      </c>
      <c r="BS80" s="24">
        <f t="shared" si="63"/>
        <v>2.7360216595790003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-2.2737367544323206E-13</v>
      </c>
      <c r="BZ80" s="14">
        <f>BY80*VLOOKUP('Données projet'!$B$12,Paramètres!$A$1:$I$89,3,0)*VLOOKUP('Données projet'!$B$12,Paramètres!$A$1:$I$89,5,0)</f>
        <v>-1.4897523215040565E-13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211.95495599943246</v>
      </c>
      <c r="CE80" s="62">
        <f t="shared" si="94"/>
        <v>270.47407508916842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0.98278471202226769</v>
      </c>
      <c r="CL80" s="23">
        <f>EXP(-LN(2)/25)*CL79+(1-EXP(-LN(2)/25))/(LN(2)/25)*Calculateur!CG80*Calculateur!CI80*VLOOKUP('Données projet'!$B$12,Paramètres!$A$1:$I$89,3,0)*0.475*44/12</f>
        <v>4.6521308299128989</v>
      </c>
      <c r="CM80" s="23">
        <f>EXP(-LN(2)/2)*CM79+(1-EXP(-LN(2)/2))/(LN(2)/2)*CG80*CJ80*VLOOKUP('Données projet'!$B$12,Paramètres!$A$1:$I$89,3,0)*0.475*44/12</f>
        <v>1.0644094098728919E-6</v>
      </c>
      <c r="CN80" s="24">
        <f t="shared" si="66"/>
        <v>5.6349166063445759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-4.5474735088646412E-13</v>
      </c>
      <c r="O81" s="14">
        <f>N81*VLOOKUP('Données projet'!$B$9,Paramètres!$A$1:$I$89,3,0)*VLOOKUP('Données projet'!$B$9,Paramètres!$A$1:$I$89,5,0)</f>
        <v>-2.5420376914553347E-13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446.5364328843699</v>
      </c>
      <c r="T81" s="62">
        <f t="shared" si="88"/>
        <v>559.96606361482179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2.1129898570305348</v>
      </c>
      <c r="AA81" s="23">
        <f>EXP(-LN(2)/25)*AA80+(1-EXP(-LN(2)/25))/(LN(2)/25)*Calculateur!V81*Calculateur!X81*VLOOKUP('Données projet'!$B$9,Paramètres!$A$1:$I$89,3,0)*0.475*44/12</f>
        <v>2.8461948514888249</v>
      </c>
      <c r="AB81" s="23">
        <f>EXP(-LN(2)/2)*AB80+(1-EXP(-LN(2)/2))/(LN(2)/2)*V81*Y81*VLOOKUP('Données projet'!$B$9,Paramètres!$A$1:$I$89,3,0)*0.475*44/12</f>
        <v>7.8033553761290544E-7</v>
      </c>
      <c r="AC81" s="24">
        <f t="shared" si="57"/>
        <v>4.9591854888548967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-3.1036506698001178E-14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164.0740581424559</v>
      </c>
      <c r="AO81" s="62">
        <f t="shared" si="90"/>
        <v>280.99861170359793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6.3354462763426991</v>
      </c>
      <c r="AV81" s="23">
        <f>EXP(-LN(2)/25)*AV80+(1-EXP(-LN(2)/25))/(LN(2)/25)*Calculateur!AQ81*Calculateur!AS81*VLOOKUP('Données projet'!$B$10,Paramètres!$A$1:$I$89,3,0)*0.475*44/12</f>
        <v>10.046845499561396</v>
      </c>
      <c r="AW81" s="23">
        <f>EXP(-LN(2)/2)*AW80+(1-EXP(-LN(2)/2))/(LN(2)/2)*AQ81*AT81*VLOOKUP('Données projet'!$B$10,Paramètres!$A$1:$I$89,3,0)*0.475*44/12</f>
        <v>9.7375334119829924E-7</v>
      </c>
      <c r="AX81" s="23">
        <f t="shared" si="60"/>
        <v>16.382292749657434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8.5265128291212022E-14</v>
      </c>
      <c r="BE81" s="14">
        <f>BD81*VLOOKUP('Données projet'!$B$11,Paramètres!$A$1:$I$89,3,0)*VLOOKUP('Données projet'!$B$11,Paramètres!$A$1:$I$89,5,0)</f>
        <v>3.990408004028723E-14</v>
      </c>
      <c r="BF81" s="14">
        <f t="shared" si="91"/>
        <v>6.6713074187844705E-13</v>
      </c>
      <c r="BG81" s="22">
        <f t="shared" si="61"/>
        <v>1.2314189815084623E-12</v>
      </c>
      <c r="BH81" s="62">
        <f t="shared" si="62"/>
        <v>293.33333333333456</v>
      </c>
      <c r="BI81" s="62">
        <f ca="1">AVERAGE(OFFSET($BH$3,0,0,'Données projet'!$E$11+1,1))-AVERAGE(OFFSET($H$3,0,0,'Données projet'!$E$11+1,1))</f>
        <v>90.829393941874685</v>
      </c>
      <c r="BJ81" s="62">
        <f t="shared" si="92"/>
        <v>113.5315547498717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1.1624230256050521</v>
      </c>
      <c r="BQ81" s="23">
        <f>EXP(-LN(2)/25)*BQ80+(1-EXP(-LN(2)/25))/(LN(2)/25)*Calculateur!BL81*Calculateur!BN81*VLOOKUP('Données projet'!$B$11,Paramètres!$A$1:$I$89,3,0)*0.475*44/12</f>
        <v>1.5079537570186181</v>
      </c>
      <c r="BR81" s="23">
        <f>EXP(-LN(2)/2)*BR80+(1-EXP(-LN(2)/2))/(LN(2)/2)*BL81*BO81*VLOOKUP('Données projet'!$B$11,Paramètres!$A$1:$I$89,3,0)*0.475*44/12</f>
        <v>1.3794577370734592E-7</v>
      </c>
      <c r="BS81" s="24">
        <f t="shared" si="63"/>
        <v>2.6703769205694439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-2.2737367544323206E-13</v>
      </c>
      <c r="BZ81" s="14">
        <f>BY81*VLOOKUP('Données projet'!$B$12,Paramètres!$A$1:$I$89,3,0)*VLOOKUP('Données projet'!$B$12,Paramètres!$A$1:$I$89,5,0)</f>
        <v>-1.4897523215040565E-13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211.95495599943246</v>
      </c>
      <c r="CE81" s="62">
        <f t="shared" si="94"/>
        <v>270.47407508916842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0.96351290325899563</v>
      </c>
      <c r="CL81" s="23">
        <f>EXP(-LN(2)/25)*CL80+(1-EXP(-LN(2)/25))/(LN(2)/25)*Calculateur!CG81*Calculateur!CI81*VLOOKUP('Données projet'!$B$12,Paramètres!$A$1:$I$89,3,0)*0.475*44/12</f>
        <v>4.5249180677240028</v>
      </c>
      <c r="CM81" s="23">
        <f>EXP(-LN(2)/2)*CM80+(1-EXP(-LN(2)/2))/(LN(2)/2)*CG81*CJ81*VLOOKUP('Données projet'!$B$12,Paramètres!$A$1:$I$89,3,0)*0.475*44/12</f>
        <v>7.5265111167989314E-7</v>
      </c>
      <c r="CN81" s="24">
        <f t="shared" si="66"/>
        <v>5.4884317236341102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-4.5474735088646412E-13</v>
      </c>
      <c r="O82" s="14">
        <f>N82*VLOOKUP('Données projet'!$B$9,Paramètres!$A$1:$I$89,3,0)*VLOOKUP('Données projet'!$B$9,Paramètres!$A$1:$I$89,5,0)</f>
        <v>-2.5420376914553347E-13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446.5364328843699</v>
      </c>
      <c r="T82" s="62">
        <f t="shared" si="88"/>
        <v>559.96606361482179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2.0715554147307205</v>
      </c>
      <c r="AA82" s="23">
        <f>EXP(-LN(2)/25)*AA81+(1-EXP(-LN(2)/25))/(LN(2)/25)*Calculateur!V82*Calculateur!X82*VLOOKUP('Données projet'!$B$9,Paramètres!$A$1:$I$89,3,0)*0.475*44/12</f>
        <v>2.768365503599981</v>
      </c>
      <c r="AB82" s="23">
        <f>EXP(-LN(2)/2)*AB81+(1-EXP(-LN(2)/2))/(LN(2)/2)*V82*Y82*VLOOKUP('Données projet'!$B$9,Paramètres!$A$1:$I$89,3,0)*0.475*44/12</f>
        <v>5.5178055024693564E-7</v>
      </c>
      <c r="AC82" s="24">
        <f t="shared" si="57"/>
        <v>4.8399214701112516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-3.1036506698001178E-14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164.0740581424559</v>
      </c>
      <c r="AO82" s="62">
        <f t="shared" si="90"/>
        <v>280.99861170359793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6.2112120391042849</v>
      </c>
      <c r="AV82" s="23">
        <f>EXP(-LN(2)/25)*AV81+(1-EXP(-LN(2)/25))/(LN(2)/25)*Calculateur!AQ82*Calculateur!AS82*VLOOKUP('Données projet'!$B$10,Paramètres!$A$1:$I$89,3,0)*0.475*44/12</f>
        <v>9.7721139810352469</v>
      </c>
      <c r="AW82" s="23">
        <f>EXP(-LN(2)/2)*AW81+(1-EXP(-LN(2)/2))/(LN(2)/2)*AQ82*AT82*VLOOKUP('Données projet'!$B$10,Paramètres!$A$1:$I$89,3,0)*0.475*44/12</f>
        <v>6.8854759076437534E-7</v>
      </c>
      <c r="AX82" s="23">
        <f t="shared" si="60"/>
        <v>15.983326708687123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8.5265128291212022E-14</v>
      </c>
      <c r="BE82" s="14">
        <f>BD82*VLOOKUP('Données projet'!$B$11,Paramètres!$A$1:$I$89,3,0)*VLOOKUP('Données projet'!$B$11,Paramètres!$A$1:$I$89,5,0)</f>
        <v>3.990408004028723E-14</v>
      </c>
      <c r="BF82" s="14">
        <f t="shared" si="91"/>
        <v>6.6713074187844705E-13</v>
      </c>
      <c r="BG82" s="22">
        <f t="shared" si="61"/>
        <v>1.2314189815084623E-12</v>
      </c>
      <c r="BH82" s="62">
        <f t="shared" si="62"/>
        <v>293.33333333333456</v>
      </c>
      <c r="BI82" s="62">
        <f ca="1">AVERAGE(OFFSET($BH$3,0,0,'Données projet'!$E$11+1,1))-AVERAGE(OFFSET($H$3,0,0,'Données projet'!$E$11+1,1))</f>
        <v>90.829393941874685</v>
      </c>
      <c r="BJ82" s="62">
        <f t="shared" si="92"/>
        <v>113.5315547498717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1.1396286190809739</v>
      </c>
      <c r="BQ82" s="23">
        <f>EXP(-LN(2)/25)*BQ81+(1-EXP(-LN(2)/25))/(LN(2)/25)*Calculateur!BL82*Calculateur!BN82*VLOOKUP('Données projet'!$B$11,Paramètres!$A$1:$I$89,3,0)*0.475*44/12</f>
        <v>1.4667186822331024</v>
      </c>
      <c r="BR82" s="23">
        <f>EXP(-LN(2)/2)*BR81+(1-EXP(-LN(2)/2))/(LN(2)/2)*BL82*BO82*VLOOKUP('Données projet'!$B$11,Paramètres!$A$1:$I$89,3,0)*0.475*44/12</f>
        <v>9.7542392024489251E-8</v>
      </c>
      <c r="BS82" s="24">
        <f t="shared" si="63"/>
        <v>2.6063473988564683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-2.2737367544323206E-13</v>
      </c>
      <c r="BZ82" s="14">
        <f>BY82*VLOOKUP('Données projet'!$B$12,Paramètres!$A$1:$I$89,3,0)*VLOOKUP('Données projet'!$B$12,Paramètres!$A$1:$I$89,5,0)</f>
        <v>-1.4897523215040565E-13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211.95495599943246</v>
      </c>
      <c r="CE82" s="62">
        <f t="shared" si="94"/>
        <v>270.47407508916842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0.94461900291092871</v>
      </c>
      <c r="CL82" s="23">
        <f>EXP(-LN(2)/25)*CL81+(1-EXP(-LN(2)/25))/(LN(2)/25)*Calculateur!CG82*Calculateur!CI82*VLOOKUP('Données projet'!$B$12,Paramètres!$A$1:$I$89,3,0)*0.475*44/12</f>
        <v>4.4011839452069905</v>
      </c>
      <c r="CM82" s="23">
        <f>EXP(-LN(2)/2)*CM81+(1-EXP(-LN(2)/2))/(LN(2)/2)*CG82*CJ82*VLOOKUP('Données projet'!$B$12,Paramètres!$A$1:$I$89,3,0)*0.475*44/12</f>
        <v>5.3220470493644594E-7</v>
      </c>
      <c r="CN82" s="24">
        <f t="shared" si="66"/>
        <v>5.3458034803226244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-4.5474735088646412E-13</v>
      </c>
      <c r="O83" s="14">
        <f>N83*VLOOKUP('Données projet'!$B$9,Paramètres!$A$1:$I$89,3,0)*VLOOKUP('Données projet'!$B$9,Paramètres!$A$1:$I$89,5,0)</f>
        <v>-2.5420376914553347E-13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446.5364328843699</v>
      </c>
      <c r="T83" s="62">
        <f t="shared" si="88"/>
        <v>559.96606361482179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2.0309334765718914</v>
      </c>
      <c r="AA83" s="23">
        <f>EXP(-LN(2)/25)*AA82+(1-EXP(-LN(2)/25))/(LN(2)/25)*Calculateur!V83*Calculateur!X83*VLOOKUP('Données projet'!$B$9,Paramètres!$A$1:$I$89,3,0)*0.475*44/12</f>
        <v>2.6926644033220248</v>
      </c>
      <c r="AB83" s="23">
        <f>EXP(-LN(2)/2)*AB82+(1-EXP(-LN(2)/2))/(LN(2)/2)*V83*Y83*VLOOKUP('Données projet'!$B$9,Paramètres!$A$1:$I$89,3,0)*0.475*44/12</f>
        <v>3.9016776880645272E-7</v>
      </c>
      <c r="AC83" s="24">
        <f t="shared" si="57"/>
        <v>4.723598270061685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-3.1036506698001178E-14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164.0740581424559</v>
      </c>
      <c r="AO83" s="62">
        <f t="shared" si="90"/>
        <v>280.99861170359793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6.0894139594827141</v>
      </c>
      <c r="AV83" s="23">
        <f>EXP(-LN(2)/25)*AV82+(1-EXP(-LN(2)/25))/(LN(2)/25)*Calculateur!AQ83*Calculateur!AS83*VLOOKUP('Données projet'!$B$10,Paramètres!$A$1:$I$89,3,0)*0.475*44/12</f>
        <v>9.5048950103306975</v>
      </c>
      <c r="AW83" s="23">
        <f>EXP(-LN(2)/2)*AW82+(1-EXP(-LN(2)/2))/(LN(2)/2)*AQ83*AT83*VLOOKUP('Données projet'!$B$10,Paramètres!$A$1:$I$89,3,0)*0.475*44/12</f>
        <v>4.8687667059914962E-7</v>
      </c>
      <c r="AX83" s="23">
        <f t="shared" si="60"/>
        <v>15.594309456690082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8.5265128291212022E-14</v>
      </c>
      <c r="BE83" s="14">
        <f>BD83*VLOOKUP('Données projet'!$B$11,Paramètres!$A$1:$I$89,3,0)*VLOOKUP('Données projet'!$B$11,Paramètres!$A$1:$I$89,5,0)</f>
        <v>3.990408004028723E-14</v>
      </c>
      <c r="BF83" s="14">
        <f t="shared" si="91"/>
        <v>6.6713074187844705E-13</v>
      </c>
      <c r="BG83" s="22">
        <f t="shared" si="61"/>
        <v>1.2314189815084623E-12</v>
      </c>
      <c r="BH83" s="62">
        <f t="shared" si="62"/>
        <v>293.33333333333456</v>
      </c>
      <c r="BI83" s="62">
        <f ca="1">AVERAGE(OFFSET($BH$3,0,0,'Données projet'!$E$11+1,1))-AVERAGE(OFFSET($H$3,0,0,'Données projet'!$E$11+1,1))</f>
        <v>90.829393941874685</v>
      </c>
      <c r="BJ83" s="62">
        <f t="shared" si="92"/>
        <v>113.5315547498717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1.1172811969656178</v>
      </c>
      <c r="BQ83" s="23">
        <f>EXP(-LN(2)/25)*BQ82+(1-EXP(-LN(2)/25))/(LN(2)/25)*Calculateur!BL83*Calculateur!BN83*VLOOKUP('Données projet'!$B$11,Paramètres!$A$1:$I$89,3,0)*0.475*44/12</f>
        <v>1.426611182736055</v>
      </c>
      <c r="BR83" s="23">
        <f>EXP(-LN(2)/2)*BR82+(1-EXP(-LN(2)/2))/(LN(2)/2)*BL83*BO83*VLOOKUP('Données projet'!$B$11,Paramètres!$A$1:$I$89,3,0)*0.475*44/12</f>
        <v>6.8972886853672959E-8</v>
      </c>
      <c r="BS83" s="24">
        <f t="shared" si="63"/>
        <v>2.5438924486745598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-2.2737367544323206E-13</v>
      </c>
      <c r="BZ83" s="14">
        <f>BY83*VLOOKUP('Données projet'!$B$12,Paramètres!$A$1:$I$89,3,0)*VLOOKUP('Données projet'!$B$12,Paramètres!$A$1:$I$89,5,0)</f>
        <v>-1.4897523215040565E-13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211.95495599943246</v>
      </c>
      <c r="CE83" s="62">
        <f t="shared" si="94"/>
        <v>270.47407508916842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0.92609560042454597</v>
      </c>
      <c r="CL83" s="23">
        <f>EXP(-LN(2)/25)*CL82+(1-EXP(-LN(2)/25))/(LN(2)/25)*Calculateur!CG83*Calculateur!CI83*VLOOKUP('Données projet'!$B$12,Paramètres!$A$1:$I$89,3,0)*0.475*44/12</f>
        <v>4.2808333387771009</v>
      </c>
      <c r="CM83" s="23">
        <f>EXP(-LN(2)/2)*CM82+(1-EXP(-LN(2)/2))/(LN(2)/2)*CG83*CJ83*VLOOKUP('Données projet'!$B$12,Paramètres!$A$1:$I$89,3,0)*0.475*44/12</f>
        <v>3.7632555583994657E-7</v>
      </c>
      <c r="CN83" s="24">
        <f t="shared" si="66"/>
        <v>5.2069293155272023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-4.5474735088646412E-13</v>
      </c>
      <c r="O84" s="14">
        <f>N84*VLOOKUP('Données projet'!$B$9,Paramètres!$A$1:$I$89,3,0)*VLOOKUP('Données projet'!$B$9,Paramètres!$A$1:$I$89,5,0)</f>
        <v>-2.5420376914553347E-13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446.5364328843699</v>
      </c>
      <c r="T84" s="62">
        <f t="shared" si="88"/>
        <v>559.96606361482179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1.9911081098434211</v>
      </c>
      <c r="AA84" s="23">
        <f>EXP(-LN(2)/25)*AA83+(1-EXP(-LN(2)/25))/(LN(2)/25)*Calculateur!V84*Calculateur!X84*VLOOKUP('Données projet'!$B$9,Paramètres!$A$1:$I$89,3,0)*0.475*44/12</f>
        <v>2.6190333536121173</v>
      </c>
      <c r="AB84" s="23">
        <f>EXP(-LN(2)/2)*AB83+(1-EXP(-LN(2)/2))/(LN(2)/2)*V84*Y84*VLOOKUP('Données projet'!$B$9,Paramètres!$A$1:$I$89,3,0)*0.475*44/12</f>
        <v>2.7589027512346782E-7</v>
      </c>
      <c r="AC84" s="24">
        <f t="shared" si="57"/>
        <v>4.6101417393458135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-3.1036506698001178E-14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164.0740581424559</v>
      </c>
      <c r="AO84" s="62">
        <f t="shared" si="90"/>
        <v>280.99861170359793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5.9700042659130288</v>
      </c>
      <c r="AV84" s="23">
        <f>EXP(-LN(2)/25)*AV83+(1-EXP(-LN(2)/25))/(LN(2)/25)*Calculateur!AQ84*Calculateur!AS84*VLOOKUP('Données projet'!$B$10,Paramètres!$A$1:$I$89,3,0)*0.475*44/12</f>
        <v>9.2449831564325002</v>
      </c>
      <c r="AW84" s="23">
        <f>EXP(-LN(2)/2)*AW83+(1-EXP(-LN(2)/2))/(LN(2)/2)*AQ84*AT84*VLOOKUP('Données projet'!$B$10,Paramètres!$A$1:$I$89,3,0)*0.475*44/12</f>
        <v>3.4427379538218767E-7</v>
      </c>
      <c r="AX84" s="23">
        <f t="shared" si="60"/>
        <v>15.214987766619325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8.5265128291212022E-14</v>
      </c>
      <c r="BE84" s="14">
        <f>BD84*VLOOKUP('Données projet'!$B$11,Paramètres!$A$1:$I$89,3,0)*VLOOKUP('Données projet'!$B$11,Paramètres!$A$1:$I$89,5,0)</f>
        <v>3.990408004028723E-14</v>
      </c>
      <c r="BF84" s="14">
        <f t="shared" si="91"/>
        <v>6.6713074187844705E-13</v>
      </c>
      <c r="BG84" s="22">
        <f t="shared" si="61"/>
        <v>1.2314189815084623E-12</v>
      </c>
      <c r="BH84" s="62">
        <f t="shared" si="62"/>
        <v>293.33333333333456</v>
      </c>
      <c r="BI84" s="62">
        <f ca="1">AVERAGE(OFFSET($BH$3,0,0,'Données projet'!$E$11+1,1))-AVERAGE(OFFSET($H$3,0,0,'Données projet'!$E$11+1,1))</f>
        <v>90.829393941874685</v>
      </c>
      <c r="BJ84" s="62">
        <f t="shared" si="92"/>
        <v>113.5315547498717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1.0953719941673621</v>
      </c>
      <c r="BQ84" s="23">
        <f>EXP(-LN(2)/25)*BQ83+(1-EXP(-LN(2)/25))/(LN(2)/25)*Calculateur!BL84*Calculateur!BN84*VLOOKUP('Données projet'!$B$11,Paramètres!$A$1:$I$89,3,0)*0.475*44/12</f>
        <v>1.387600424921916</v>
      </c>
      <c r="BR84" s="23">
        <f>EXP(-LN(2)/2)*BR83+(1-EXP(-LN(2)/2))/(LN(2)/2)*BL84*BO84*VLOOKUP('Données projet'!$B$11,Paramètres!$A$1:$I$89,3,0)*0.475*44/12</f>
        <v>4.8771196012244626E-8</v>
      </c>
      <c r="BS84" s="24">
        <f t="shared" si="63"/>
        <v>2.4829724678604741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projet'!$B$12,Paramètres!$A$1:$I$89,3,0)*VLOOKUP('Données projet'!$B$12,Paramètres!$A$1:$I$89,5,0)</f>
        <v>-1.4897523215040565E-13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211.95495599943246</v>
      </c>
      <c r="CE84" s="62">
        <f t="shared" si="94"/>
        <v>270.47407508916842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0.90793543056276138</v>
      </c>
      <c r="CL84" s="23">
        <f>EXP(-LN(2)/25)*CL83+(1-EXP(-LN(2)/25))/(LN(2)/25)*Calculateur!CG84*Calculateur!CI84*VLOOKUP('Données projet'!$B$12,Paramètres!$A$1:$I$89,3,0)*0.475*44/12</f>
        <v>4.1637737260089995</v>
      </c>
      <c r="CM84" s="23">
        <f>EXP(-LN(2)/2)*CM83+(1-EXP(-LN(2)/2))/(LN(2)/2)*CG84*CJ84*VLOOKUP('Données projet'!$B$12,Paramètres!$A$1:$I$89,3,0)*0.475*44/12</f>
        <v>2.6610235246822297E-7</v>
      </c>
      <c r="CN84" s="24">
        <f t="shared" si="66"/>
        <v>5.0717094226741137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-4.5474735088646412E-13</v>
      </c>
      <c r="O85" s="14">
        <f>N85*VLOOKUP('Données projet'!$B$9,Paramètres!$A$1:$I$89,3,0)*VLOOKUP('Données projet'!$B$9,Paramètres!$A$1:$I$89,5,0)</f>
        <v>-2.5420376914553347E-13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446.5364328843699</v>
      </c>
      <c r="T85" s="62">
        <f t="shared" si="88"/>
        <v>559.96606361482179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1.952063694265421</v>
      </c>
      <c r="AA85" s="23">
        <f>EXP(-LN(2)/25)*AA84+(1-EXP(-LN(2)/25))/(LN(2)/25)*Calculateur!V85*Calculateur!X85*VLOOKUP('Données projet'!$B$9,Paramètres!$A$1:$I$89,3,0)*0.475*44/12</f>
        <v>2.547415748828616</v>
      </c>
      <c r="AB85" s="23">
        <f>EXP(-LN(2)/2)*AB84+(1-EXP(-LN(2)/2))/(LN(2)/2)*V85*Y85*VLOOKUP('Données projet'!$B$9,Paramètres!$A$1:$I$89,3,0)*0.475*44/12</f>
        <v>1.9508388440322636E-7</v>
      </c>
      <c r="AC85" s="24">
        <f t="shared" si="57"/>
        <v>4.4994796381779212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-3.1036506698001178E-14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164.0740581424559</v>
      </c>
      <c r="AO85" s="62">
        <f t="shared" si="90"/>
        <v>280.99861170359793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5.8529361236015234</v>
      </c>
      <c r="AV85" s="23">
        <f>EXP(-LN(2)/25)*AV84+(1-EXP(-LN(2)/25))/(LN(2)/25)*Calculateur!AQ85*Calculateur!AS85*VLOOKUP('Données projet'!$B$10,Paramètres!$A$1:$I$89,3,0)*0.475*44/12</f>
        <v>8.9921786058473199</v>
      </c>
      <c r="AW85" s="23">
        <f>EXP(-LN(2)/2)*AW84+(1-EXP(-LN(2)/2))/(LN(2)/2)*AQ85*AT85*VLOOKUP('Données projet'!$B$10,Paramètres!$A$1:$I$89,3,0)*0.475*44/12</f>
        <v>2.4343833529957481E-7</v>
      </c>
      <c r="AX85" s="23">
        <f t="shared" si="60"/>
        <v>14.845114972887179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8.5265128291212022E-14</v>
      </c>
      <c r="BE85" s="14">
        <f>BD85*VLOOKUP('Données projet'!$B$11,Paramètres!$A$1:$I$89,3,0)*VLOOKUP('Données projet'!$B$11,Paramètres!$A$1:$I$89,5,0)</f>
        <v>3.990408004028723E-14</v>
      </c>
      <c r="BF85" s="14">
        <f t="shared" si="91"/>
        <v>6.6713074187844705E-13</v>
      </c>
      <c r="BG85" s="22">
        <f t="shared" si="61"/>
        <v>1.2314189815084623E-12</v>
      </c>
      <c r="BH85" s="62">
        <f t="shared" si="62"/>
        <v>293.33333333333456</v>
      </c>
      <c r="BI85" s="62">
        <f ca="1">AVERAGE(OFFSET($BH$3,0,0,'Données projet'!$E$11+1,1))-AVERAGE(OFFSET($H$3,0,0,'Données projet'!$E$11+1,1))</f>
        <v>90.829393941874685</v>
      </c>
      <c r="BJ85" s="62">
        <f t="shared" si="92"/>
        <v>113.5315547498717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1.073892417472686</v>
      </c>
      <c r="BQ85" s="23">
        <f>EXP(-LN(2)/25)*BQ84+(1-EXP(-LN(2)/25))/(LN(2)/25)*Calculateur!BL85*Calculateur!BN85*VLOOKUP('Données projet'!$B$11,Paramètres!$A$1:$I$89,3,0)*0.475*44/12</f>
        <v>1.3496564183316913</v>
      </c>
      <c r="BR85" s="23">
        <f>EXP(-LN(2)/2)*BR84+(1-EXP(-LN(2)/2))/(LN(2)/2)*BL85*BO85*VLOOKUP('Données projet'!$B$11,Paramètres!$A$1:$I$89,3,0)*0.475*44/12</f>
        <v>3.448644342683648E-8</v>
      </c>
      <c r="BS85" s="24">
        <f t="shared" si="63"/>
        <v>2.4235488702908206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projet'!$B$12,Paramètres!$A$1:$I$89,3,0)*VLOOKUP('Données projet'!$B$12,Paramètres!$A$1:$I$89,5,0)</f>
        <v>-1.4897523215040565E-13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211.95495599943246</v>
      </c>
      <c r="CE85" s="62">
        <f t="shared" si="94"/>
        <v>270.47407508916842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0.8901313705553564</v>
      </c>
      <c r="CL85" s="23">
        <f>EXP(-LN(2)/25)*CL84+(1-EXP(-LN(2)/25))/(LN(2)/25)*Calculateur!CG85*Calculateur!CI85*VLOOKUP('Données projet'!$B$12,Paramètres!$A$1:$I$89,3,0)*0.475*44/12</f>
        <v>4.0499151145079395</v>
      </c>
      <c r="CM85" s="23">
        <f>EXP(-LN(2)/2)*CM84+(1-EXP(-LN(2)/2))/(LN(2)/2)*CG85*CJ85*VLOOKUP('Données projet'!$B$12,Paramètres!$A$1:$I$89,3,0)*0.475*44/12</f>
        <v>1.8816277791997328E-7</v>
      </c>
      <c r="CN85" s="24">
        <f t="shared" si="66"/>
        <v>4.9400466732260737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-4.5474735088646412E-13</v>
      </c>
      <c r="O86" s="14">
        <f>N86*VLOOKUP('Données projet'!$B$9,Paramètres!$A$1:$I$89,3,0)*VLOOKUP('Données projet'!$B$9,Paramètres!$A$1:$I$89,5,0)</f>
        <v>-2.5420376914553347E-13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446.5364328843699</v>
      </c>
      <c r="T86" s="62">
        <f t="shared" si="88"/>
        <v>559.96606361482179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1.9137849158621636</v>
      </c>
      <c r="AA86" s="23">
        <f>EXP(-LN(2)/25)*AA85+(1-EXP(-LN(2)/25))/(LN(2)/25)*Calculateur!V86*Calculateur!X86*VLOOKUP('Données projet'!$B$9,Paramètres!$A$1:$I$89,3,0)*0.475*44/12</f>
        <v>2.4777565312141254</v>
      </c>
      <c r="AB86" s="23">
        <f>EXP(-LN(2)/2)*AB85+(1-EXP(-LN(2)/2))/(LN(2)/2)*V86*Y86*VLOOKUP('Données projet'!$B$9,Paramètres!$A$1:$I$89,3,0)*0.475*44/12</f>
        <v>1.3794513756173391E-7</v>
      </c>
      <c r="AC86" s="24">
        <f t="shared" si="57"/>
        <v>4.391541585021427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-3.1036506698001178E-14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164.0740581424559</v>
      </c>
      <c r="AO86" s="62">
        <f t="shared" si="90"/>
        <v>280.99861170359793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5.7381636161562311</v>
      </c>
      <c r="AV86" s="23">
        <f>EXP(-LN(2)/25)*AV85+(1-EXP(-LN(2)/25))/(LN(2)/25)*Calculateur!AQ86*Calculateur!AS86*VLOOKUP('Données projet'!$B$10,Paramètres!$A$1:$I$89,3,0)*0.475*44/12</f>
        <v>8.7462870089923044</v>
      </c>
      <c r="AW86" s="23">
        <f>EXP(-LN(2)/2)*AW85+(1-EXP(-LN(2)/2))/(LN(2)/2)*AQ86*AT86*VLOOKUP('Données projet'!$B$10,Paramètres!$A$1:$I$89,3,0)*0.475*44/12</f>
        <v>1.7213689769109384E-7</v>
      </c>
      <c r="AX86" s="23">
        <f t="shared" si="60"/>
        <v>14.484450797285435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8.5265128291212022E-14</v>
      </c>
      <c r="BE86" s="14">
        <f>BD86*VLOOKUP('Données projet'!$B$11,Paramètres!$A$1:$I$89,3,0)*VLOOKUP('Données projet'!$B$11,Paramètres!$A$1:$I$89,5,0)</f>
        <v>3.990408004028723E-14</v>
      </c>
      <c r="BF86" s="14">
        <f t="shared" si="91"/>
        <v>6.6713074187844705E-13</v>
      </c>
      <c r="BG86" s="22">
        <f t="shared" si="61"/>
        <v>1.2314189815084623E-12</v>
      </c>
      <c r="BH86" s="62">
        <f t="shared" si="62"/>
        <v>293.33333333333456</v>
      </c>
      <c r="BI86" s="62">
        <f ca="1">AVERAGE(OFFSET($BH$3,0,0,'Données projet'!$E$11+1,1))-AVERAGE(OFFSET($H$3,0,0,'Données projet'!$E$11+1,1))</f>
        <v>90.829393941874685</v>
      </c>
      <c r="BJ86" s="62">
        <f t="shared" si="92"/>
        <v>113.5315547498717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1.0528340421757445</v>
      </c>
      <c r="BQ86" s="23">
        <f>EXP(-LN(2)/25)*BQ85+(1-EXP(-LN(2)/25))/(LN(2)/25)*Calculateur!BL86*Calculateur!BN86*VLOOKUP('Données projet'!$B$11,Paramètres!$A$1:$I$89,3,0)*0.475*44/12</f>
        <v>1.3127499925970647</v>
      </c>
      <c r="BR86" s="23">
        <f>EXP(-LN(2)/2)*BR85+(1-EXP(-LN(2)/2))/(LN(2)/2)*BL86*BO86*VLOOKUP('Données projet'!$B$11,Paramètres!$A$1:$I$89,3,0)*0.475*44/12</f>
        <v>2.4385598006122313E-8</v>
      </c>
      <c r="BS86" s="24">
        <f t="shared" si="63"/>
        <v>2.3655840591584072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projet'!$B$12,Paramètres!$A$1:$I$89,3,0)*VLOOKUP('Données projet'!$B$12,Paramètres!$A$1:$I$89,5,0)</f>
        <v>-1.4897523215040565E-13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211.95495599943246</v>
      </c>
      <c r="CE86" s="62">
        <f t="shared" si="94"/>
        <v>270.47407508916842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0.87267643730529232</v>
      </c>
      <c r="CL86" s="23">
        <f>EXP(-LN(2)/25)*CL85+(1-EXP(-LN(2)/25))/(LN(2)/25)*Calculateur!CG86*Calculateur!CI86*VLOOKUP('Données projet'!$B$12,Paramètres!$A$1:$I$89,3,0)*0.475*44/12</f>
        <v>3.9391699727259404</v>
      </c>
      <c r="CM86" s="23">
        <f>EXP(-LN(2)/2)*CM85+(1-EXP(-LN(2)/2))/(LN(2)/2)*CG86*CJ86*VLOOKUP('Données projet'!$B$12,Paramètres!$A$1:$I$89,3,0)*0.475*44/12</f>
        <v>1.3305117623411148E-7</v>
      </c>
      <c r="CN86" s="24">
        <f t="shared" si="66"/>
        <v>4.8118465430824093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-4.5474735088646412E-13</v>
      </c>
      <c r="O87" s="14">
        <f>N87*VLOOKUP('Données projet'!$B$9,Paramètres!$A$1:$I$89,3,0)*VLOOKUP('Données projet'!$B$9,Paramètres!$A$1:$I$89,5,0)</f>
        <v>-2.5420376914553347E-13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446.5364328843699</v>
      </c>
      <c r="T87" s="62">
        <f t="shared" si="88"/>
        <v>559.96606361482179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1.8762567609556446</v>
      </c>
      <c r="AA87" s="23">
        <f>EXP(-LN(2)/25)*AA86+(1-EXP(-LN(2)/25))/(LN(2)/25)*Calculateur!V87*Calculateur!X87*VLOOKUP('Données projet'!$B$9,Paramètres!$A$1:$I$89,3,0)*0.475*44/12</f>
        <v>2.4100021485685224</v>
      </c>
      <c r="AB87" s="23">
        <f>EXP(-LN(2)/2)*AB86+(1-EXP(-LN(2)/2))/(LN(2)/2)*V87*Y87*VLOOKUP('Données projet'!$B$9,Paramètres!$A$1:$I$89,3,0)*0.475*44/12</f>
        <v>9.754194220161318E-8</v>
      </c>
      <c r="AC87" s="24">
        <f t="shared" si="57"/>
        <v>4.2862590070661097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-3.1036506698001178E-14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164.0740581424559</v>
      </c>
      <c r="AO87" s="62">
        <f t="shared" si="90"/>
        <v>280.99861170359793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5.6256417275776238</v>
      </c>
      <c r="AV87" s="23">
        <f>EXP(-LN(2)/25)*AV86+(1-EXP(-LN(2)/25))/(LN(2)/25)*Calculateur!AQ87*Calculateur!AS87*VLOOKUP('Données projet'!$B$10,Paramètres!$A$1:$I$89,3,0)*0.475*44/12</f>
        <v>8.5071193307841657</v>
      </c>
      <c r="AW87" s="23">
        <f>EXP(-LN(2)/2)*AW86+(1-EXP(-LN(2)/2))/(LN(2)/2)*AQ87*AT87*VLOOKUP('Données projet'!$B$10,Paramètres!$A$1:$I$89,3,0)*0.475*44/12</f>
        <v>1.2171916764978741E-7</v>
      </c>
      <c r="AX87" s="23">
        <f t="shared" si="60"/>
        <v>14.132761180080958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8.5265128291212022E-14</v>
      </c>
      <c r="BE87" s="14">
        <f>BD87*VLOOKUP('Données projet'!$B$11,Paramètres!$A$1:$I$89,3,0)*VLOOKUP('Données projet'!$B$11,Paramètres!$A$1:$I$89,5,0)</f>
        <v>3.990408004028723E-14</v>
      </c>
      <c r="BF87" s="14">
        <f t="shared" si="91"/>
        <v>6.6713074187844705E-13</v>
      </c>
      <c r="BG87" s="22">
        <f t="shared" si="61"/>
        <v>1.2314189815084623E-12</v>
      </c>
      <c r="BH87" s="62">
        <f t="shared" si="62"/>
        <v>293.33333333333456</v>
      </c>
      <c r="BI87" s="62">
        <f ca="1">AVERAGE(OFFSET($BH$3,0,0,'Données projet'!$E$11+1,1))-AVERAGE(OFFSET($H$3,0,0,'Données projet'!$E$11+1,1))</f>
        <v>90.829393941874685</v>
      </c>
      <c r="BJ87" s="62">
        <f t="shared" si="92"/>
        <v>113.5315547498717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1.0321886087740353</v>
      </c>
      <c r="BQ87" s="23">
        <f>EXP(-LN(2)/25)*BQ86+(1-EXP(-LN(2)/25))/(LN(2)/25)*Calculateur!BL87*Calculateur!BN87*VLOOKUP('Données projet'!$B$11,Paramètres!$A$1:$I$89,3,0)*0.475*44/12</f>
        <v>1.2768527750149763</v>
      </c>
      <c r="BR87" s="23">
        <f>EXP(-LN(2)/2)*BR86+(1-EXP(-LN(2)/2))/(LN(2)/2)*BL87*BO87*VLOOKUP('Données projet'!$B$11,Paramètres!$A$1:$I$89,3,0)*0.475*44/12</f>
        <v>1.724322171341824E-8</v>
      </c>
      <c r="BS87" s="24">
        <f t="shared" si="63"/>
        <v>2.3090414010322333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projet'!$B$12,Paramètres!$A$1:$I$89,3,0)*VLOOKUP('Données projet'!$B$12,Paramètres!$A$1:$I$89,5,0)</f>
        <v>-1.4897523215040565E-13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211.95495599943246</v>
      </c>
      <c r="CE87" s="62">
        <f t="shared" si="94"/>
        <v>270.47407508916842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0.85556378464980398</v>
      </c>
      <c r="CL87" s="23">
        <f>EXP(-LN(2)/25)*CL86+(1-EXP(-LN(2)/25))/(LN(2)/25)*Calculateur!CG87*Calculateur!CI87*VLOOKUP('Données projet'!$B$12,Paramètres!$A$1:$I$89,3,0)*0.475*44/12</f>
        <v>3.8314531626698036</v>
      </c>
      <c r="CM87" s="23">
        <f>EXP(-LN(2)/2)*CM86+(1-EXP(-LN(2)/2))/(LN(2)/2)*CG87*CJ87*VLOOKUP('Données projet'!$B$12,Paramètres!$A$1:$I$89,3,0)*0.475*44/12</f>
        <v>9.4081388959986642E-8</v>
      </c>
      <c r="CN87" s="24">
        <f t="shared" si="66"/>
        <v>4.6870170414009964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-4.5474735088646412E-13</v>
      </c>
      <c r="O88" s="14">
        <f>N88*VLOOKUP('Données projet'!$B$9,Paramètres!$A$1:$I$89,3,0)*VLOOKUP('Données projet'!$B$9,Paramètres!$A$1:$I$89,5,0)</f>
        <v>-2.5420376914553347E-13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446.5364328843699</v>
      </c>
      <c r="T88" s="62">
        <f t="shared" si="88"/>
        <v>559.96606361482179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1.8394645102769283</v>
      </c>
      <c r="AA88" s="23">
        <f>EXP(-LN(2)/25)*AA87+(1-EXP(-LN(2)/25))/(LN(2)/25)*Calculateur!V88*Calculateur!X88*VLOOKUP('Données projet'!$B$9,Paramètres!$A$1:$I$89,3,0)*0.475*44/12</f>
        <v>2.344100513079411</v>
      </c>
      <c r="AB88" s="23">
        <f>EXP(-LN(2)/2)*AB87+(1-EXP(-LN(2)/2))/(LN(2)/2)*V88*Y88*VLOOKUP('Données projet'!$B$9,Paramètres!$A$1:$I$89,3,0)*0.475*44/12</f>
        <v>6.8972568780866955E-8</v>
      </c>
      <c r="AC88" s="24">
        <f t="shared" si="57"/>
        <v>4.1835650923289078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-3.1036506698001178E-14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164.0740581424559</v>
      </c>
      <c r="AO88" s="62">
        <f t="shared" si="90"/>
        <v>280.99861170359793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5.5153263246024675</v>
      </c>
      <c r="AV88" s="23">
        <f>EXP(-LN(2)/25)*AV87+(1-EXP(-LN(2)/25))/(LN(2)/25)*Calculateur!AQ88*Calculateur!AS88*VLOOKUP('Données projet'!$B$10,Paramètres!$A$1:$I$89,3,0)*0.475*44/12</f>
        <v>8.2744917053139098</v>
      </c>
      <c r="AW88" s="23">
        <f>EXP(-LN(2)/2)*AW87+(1-EXP(-LN(2)/2))/(LN(2)/2)*AQ88*AT88*VLOOKUP('Données projet'!$B$10,Paramètres!$A$1:$I$89,3,0)*0.475*44/12</f>
        <v>8.6068448845546918E-8</v>
      </c>
      <c r="AX88" s="23">
        <f t="shared" si="60"/>
        <v>13.789818115984826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8.5265128291212022E-14</v>
      </c>
      <c r="BE88" s="14">
        <f>BD88*VLOOKUP('Données projet'!$B$11,Paramètres!$A$1:$I$89,3,0)*VLOOKUP('Données projet'!$B$11,Paramètres!$A$1:$I$89,5,0)</f>
        <v>3.990408004028723E-14</v>
      </c>
      <c r="BF88" s="14">
        <f t="shared" si="91"/>
        <v>6.6713074187844705E-13</v>
      </c>
      <c r="BG88" s="22">
        <f t="shared" si="61"/>
        <v>1.2314189815084623E-12</v>
      </c>
      <c r="BH88" s="62">
        <f t="shared" si="62"/>
        <v>293.33333333333456</v>
      </c>
      <c r="BI88" s="62">
        <f ca="1">AVERAGE(OFFSET($BH$3,0,0,'Données projet'!$E$11+1,1))-AVERAGE(OFFSET($H$3,0,0,'Données projet'!$E$11+1,1))</f>
        <v>90.829393941874685</v>
      </c>
      <c r="BJ88" s="62">
        <f t="shared" si="92"/>
        <v>113.5315547498717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1.0119480197288626</v>
      </c>
      <c r="BQ88" s="23">
        <f>EXP(-LN(2)/25)*BQ87+(1-EXP(-LN(2)/25))/(LN(2)/25)*Calculateur!BL88*Calculateur!BN88*VLOOKUP('Données projet'!$B$11,Paramètres!$A$1:$I$89,3,0)*0.475*44/12</f>
        <v>1.2419371687354226</v>
      </c>
      <c r="BR88" s="23">
        <f>EXP(-LN(2)/2)*BR87+(1-EXP(-LN(2)/2))/(LN(2)/2)*BL88*BO88*VLOOKUP('Données projet'!$B$11,Paramètres!$A$1:$I$89,3,0)*0.475*44/12</f>
        <v>1.2192799003061156E-8</v>
      </c>
      <c r="BS88" s="24">
        <f t="shared" si="63"/>
        <v>2.2538852006570846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projet'!$B$12,Paramètres!$A$1:$I$89,3,0)*VLOOKUP('Données projet'!$B$12,Paramètres!$A$1:$I$89,5,0)</f>
        <v>-1.4897523215040565E-13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211.95495599943246</v>
      </c>
      <c r="CE88" s="62">
        <f t="shared" si="94"/>
        <v>270.47407508916842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0.83878670067520233</v>
      </c>
      <c r="CL88" s="23">
        <f>EXP(-LN(2)/25)*CL87+(1-EXP(-LN(2)/25))/(LN(2)/25)*Calculateur!CG88*Calculateur!CI88*VLOOKUP('Données projet'!$B$12,Paramètres!$A$1:$I$89,3,0)*0.475*44/12</f>
        <v>3.7266818744492327</v>
      </c>
      <c r="CM88" s="23">
        <f>EXP(-LN(2)/2)*CM87+(1-EXP(-LN(2)/2))/(LN(2)/2)*CG88*CJ88*VLOOKUP('Données projet'!$B$12,Paramètres!$A$1:$I$89,3,0)*0.475*44/12</f>
        <v>6.6525588117055742E-8</v>
      </c>
      <c r="CN88" s="24">
        <f t="shared" si="66"/>
        <v>4.565468641650023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-4.5474735088646412E-13</v>
      </c>
      <c r="O89" s="14">
        <f>N89*VLOOKUP('Données projet'!$B$9,Paramètres!$A$1:$I$89,3,0)*VLOOKUP('Données projet'!$B$9,Paramètres!$A$1:$I$89,5,0)</f>
        <v>-2.5420376914553347E-13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446.5364328843699</v>
      </c>
      <c r="T89" s="62">
        <f t="shared" si="88"/>
        <v>559.96606361482179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1.8033937331929644</v>
      </c>
      <c r="AA89" s="23">
        <f>EXP(-LN(2)/25)*AA88+(1-EXP(-LN(2)/25))/(LN(2)/25)*Calculateur!V89*Calculateur!X89*VLOOKUP('Données projet'!$B$9,Paramètres!$A$1:$I$89,3,0)*0.475*44/12</f>
        <v>2.280000961278366</v>
      </c>
      <c r="AB89" s="23">
        <f>EXP(-LN(2)/2)*AB88+(1-EXP(-LN(2)/2))/(LN(2)/2)*V89*Y89*VLOOKUP('Données projet'!$B$9,Paramètres!$A$1:$I$89,3,0)*0.475*44/12</f>
        <v>4.877097110080659E-8</v>
      </c>
      <c r="AC89" s="24">
        <f t="shared" si="57"/>
        <v>4.0833947432423017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-3.1036506698001178E-14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164.0740581424559</v>
      </c>
      <c r="AO89" s="62">
        <f t="shared" si="90"/>
        <v>280.99861170359793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5.4071741393939021</v>
      </c>
      <c r="AV89" s="23">
        <f>EXP(-LN(2)/25)*AV88+(1-EXP(-LN(2)/25))/(LN(2)/25)*Calculateur!AQ89*Calculateur!AS89*VLOOKUP('Données projet'!$B$10,Paramètres!$A$1:$I$89,3,0)*0.475*44/12</f>
        <v>8.0482252944954933</v>
      </c>
      <c r="AW89" s="23">
        <f>EXP(-LN(2)/2)*AW88+(1-EXP(-LN(2)/2))/(LN(2)/2)*AQ89*AT89*VLOOKUP('Données projet'!$B$10,Paramètres!$A$1:$I$89,3,0)*0.475*44/12</f>
        <v>6.0859583824893703E-8</v>
      </c>
      <c r="AX89" s="23">
        <f t="shared" si="60"/>
        <v>13.455399494748979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8.5265128291212022E-14</v>
      </c>
      <c r="BE89" s="14">
        <f>BD89*VLOOKUP('Données projet'!$B$11,Paramètres!$A$1:$I$89,3,0)*VLOOKUP('Données projet'!$B$11,Paramètres!$A$1:$I$89,5,0)</f>
        <v>3.990408004028723E-14</v>
      </c>
      <c r="BF89" s="14">
        <f t="shared" si="91"/>
        <v>6.6713074187844705E-13</v>
      </c>
      <c r="BG89" s="22">
        <f t="shared" si="61"/>
        <v>1.2314189815084623E-12</v>
      </c>
      <c r="BH89" s="62">
        <f t="shared" si="62"/>
        <v>293.33333333333456</v>
      </c>
      <c r="BI89" s="62">
        <f ca="1">AVERAGE(OFFSET($BH$3,0,0,'Données projet'!$E$11+1,1))-AVERAGE(OFFSET($H$3,0,0,'Données projet'!$E$11+1,1))</f>
        <v>90.829393941874685</v>
      </c>
      <c r="BJ89" s="62">
        <f t="shared" si="92"/>
        <v>113.5315547498717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0.99210433628932548</v>
      </c>
      <c r="BQ89" s="23">
        <f>EXP(-LN(2)/25)*BQ88+(1-EXP(-LN(2)/25))/(LN(2)/25)*Calculateur!BL89*Calculateur!BN89*VLOOKUP('Données projet'!$B$11,Paramètres!$A$1:$I$89,3,0)*0.475*44/12</f>
        <v>1.2079763315457153</v>
      </c>
      <c r="BR89" s="23">
        <f>EXP(-LN(2)/2)*BR88+(1-EXP(-LN(2)/2))/(LN(2)/2)*BL89*BO89*VLOOKUP('Données projet'!$B$11,Paramètres!$A$1:$I$89,3,0)*0.475*44/12</f>
        <v>8.6216108567091199E-9</v>
      </c>
      <c r="BS89" s="24">
        <f t="shared" si="63"/>
        <v>2.2000806764566518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projet'!$B$12,Paramètres!$A$1:$I$89,3,0)*VLOOKUP('Données projet'!$B$12,Paramètres!$A$1:$I$89,5,0)</f>
        <v>-1.4897523215040565E-13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211.95495599943246</v>
      </c>
      <c r="CE89" s="62">
        <f t="shared" si="94"/>
        <v>270.47407508916842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0.82233860508433176</v>
      </c>
      <c r="CL89" s="23">
        <f>EXP(-LN(2)/25)*CL88+(1-EXP(-LN(2)/25))/(LN(2)/25)*Calculateur!CG89*Calculateur!CI89*VLOOKUP('Données projet'!$B$12,Paramètres!$A$1:$I$89,3,0)*0.475*44/12</f>
        <v>3.6247755626147362</v>
      </c>
      <c r="CM89" s="23">
        <f>EXP(-LN(2)/2)*CM88+(1-EXP(-LN(2)/2))/(LN(2)/2)*CG89*CJ89*VLOOKUP('Données projet'!$B$12,Paramètres!$A$1:$I$89,3,0)*0.475*44/12</f>
        <v>4.7040694479993321E-8</v>
      </c>
      <c r="CN89" s="24">
        <f t="shared" si="66"/>
        <v>4.4471142147397629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-4.5474735088646412E-13</v>
      </c>
      <c r="O90" s="14">
        <f>N90*VLOOKUP('Données projet'!$B$9,Paramètres!$A$1:$I$89,3,0)*VLOOKUP('Données projet'!$B$9,Paramètres!$A$1:$I$89,5,0)</f>
        <v>-2.5420376914553347E-13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446.5364328843699</v>
      </c>
      <c r="T90" s="62">
        <f t="shared" si="88"/>
        <v>559.96606361482179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1.7680302820466154</v>
      </c>
      <c r="AA90" s="23">
        <f>EXP(-LN(2)/25)*AA89+(1-EXP(-LN(2)/25))/(LN(2)/25)*Calculateur!V90*Calculateur!X90*VLOOKUP('Données projet'!$B$9,Paramètres!$A$1:$I$89,3,0)*0.475*44/12</f>
        <v>2.2176542150921694</v>
      </c>
      <c r="AB90" s="23">
        <f>EXP(-LN(2)/2)*AB89+(1-EXP(-LN(2)/2))/(LN(2)/2)*V90*Y90*VLOOKUP('Données projet'!$B$9,Paramètres!$A$1:$I$89,3,0)*0.475*44/12</f>
        <v>3.4486284390433477E-8</v>
      </c>
      <c r="AC90" s="24">
        <f t="shared" si="57"/>
        <v>3.9856845316250693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-3.1036506698001178E-14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164.0740581424559</v>
      </c>
      <c r="AO90" s="62">
        <f t="shared" si="90"/>
        <v>280.99861170359793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5.3011427525709571</v>
      </c>
      <c r="AV90" s="23">
        <f>EXP(-LN(2)/25)*AV89+(1-EXP(-LN(2)/25))/(LN(2)/25)*Calculateur!AQ90*Calculateur!AS90*VLOOKUP('Données projet'!$B$10,Paramètres!$A$1:$I$89,3,0)*0.475*44/12</f>
        <v>7.8281461505797401</v>
      </c>
      <c r="AW90" s="23">
        <f>EXP(-LN(2)/2)*AW89+(1-EXP(-LN(2)/2))/(LN(2)/2)*AQ90*AT90*VLOOKUP('Données projet'!$B$10,Paramètres!$A$1:$I$89,3,0)*0.475*44/12</f>
        <v>4.3034224422773459E-8</v>
      </c>
      <c r="AX90" s="23">
        <f t="shared" si="60"/>
        <v>13.129288946184923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8.5265128291212022E-14</v>
      </c>
      <c r="BE90" s="14">
        <f>BD90*VLOOKUP('Données projet'!$B$11,Paramètres!$A$1:$I$89,3,0)*VLOOKUP('Données projet'!$B$11,Paramètres!$A$1:$I$89,5,0)</f>
        <v>3.990408004028723E-14</v>
      </c>
      <c r="BF90" s="14">
        <f t="shared" si="91"/>
        <v>6.6713074187844705E-13</v>
      </c>
      <c r="BG90" s="22">
        <f t="shared" si="61"/>
        <v>1.2314189815084623E-12</v>
      </c>
      <c r="BH90" s="62">
        <f t="shared" si="62"/>
        <v>293.33333333333456</v>
      </c>
      <c r="BI90" s="62">
        <f ca="1">AVERAGE(OFFSET($BH$3,0,0,'Données projet'!$E$11+1,1))-AVERAGE(OFFSET($H$3,0,0,'Données projet'!$E$11+1,1))</f>
        <v>90.829393941874685</v>
      </c>
      <c r="BJ90" s="62">
        <f t="shared" si="92"/>
        <v>113.5315547498717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0.97264977537858588</v>
      </c>
      <c r="BQ90" s="23">
        <f>EXP(-LN(2)/25)*BQ89+(1-EXP(-LN(2)/25))/(LN(2)/25)*Calculateur!BL90*Calculateur!BN90*VLOOKUP('Données projet'!$B$11,Paramètres!$A$1:$I$89,3,0)*0.475*44/12</f>
        <v>1.1749441552348834</v>
      </c>
      <c r="BR90" s="23">
        <f>EXP(-LN(2)/2)*BR89+(1-EXP(-LN(2)/2))/(LN(2)/2)*BL90*BO90*VLOOKUP('Données projet'!$B$11,Paramètres!$A$1:$I$89,3,0)*0.475*44/12</f>
        <v>6.0963995015305782E-9</v>
      </c>
      <c r="BS90" s="24">
        <f t="shared" si="63"/>
        <v>2.1475939367098689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projet'!$B$12,Paramètres!$A$1:$I$89,3,0)*VLOOKUP('Données projet'!$B$12,Paramètres!$A$1:$I$89,5,0)</f>
        <v>-1.4897523215040565E-13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211.95495599943246</v>
      </c>
      <c r="CE90" s="62">
        <f t="shared" si="94"/>
        <v>270.47407508916842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0.80621304661565052</v>
      </c>
      <c r="CL90" s="23">
        <f>EXP(-LN(2)/25)*CL89+(1-EXP(-LN(2)/25))/(LN(2)/25)*Calculateur!CG90*Calculateur!CI90*VLOOKUP('Données projet'!$B$12,Paramètres!$A$1:$I$89,3,0)*0.475*44/12</f>
        <v>3.5256558842363739</v>
      </c>
      <c r="CM90" s="23">
        <f>EXP(-LN(2)/2)*CM89+(1-EXP(-LN(2)/2))/(LN(2)/2)*CG90*CJ90*VLOOKUP('Données projet'!$B$12,Paramètres!$A$1:$I$89,3,0)*0.475*44/12</f>
        <v>3.3262794058527871E-8</v>
      </c>
      <c r="CN90" s="24">
        <f t="shared" si="66"/>
        <v>4.3318689641148191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-4.5474735088646412E-13</v>
      </c>
      <c r="O91" s="14">
        <f>N91*VLOOKUP('Données projet'!$B$9,Paramètres!$A$1:$I$89,3,0)*VLOOKUP('Données projet'!$B$9,Paramètres!$A$1:$I$89,5,0)</f>
        <v>-2.5420376914553347E-13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446.5364328843699</v>
      </c>
      <c r="T91" s="62">
        <f t="shared" si="88"/>
        <v>559.96606361482179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1.7333602866076709</v>
      </c>
      <c r="AA91" s="23">
        <f>EXP(-LN(2)/25)*AA90+(1-EXP(-LN(2)/25))/(LN(2)/25)*Calculateur!V91*Calculateur!X91*VLOOKUP('Données projet'!$B$9,Paramètres!$A$1:$I$89,3,0)*0.475*44/12</f>
        <v>2.1570123439591073</v>
      </c>
      <c r="AB91" s="23">
        <f>EXP(-LN(2)/2)*AB90+(1-EXP(-LN(2)/2))/(LN(2)/2)*V91*Y91*VLOOKUP('Données projet'!$B$9,Paramètres!$A$1:$I$89,3,0)*0.475*44/12</f>
        <v>2.4385485550403295E-8</v>
      </c>
      <c r="AC91" s="24">
        <f t="shared" si="57"/>
        <v>3.8903726549522641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-3.1036506698001178E-14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164.0740581424559</v>
      </c>
      <c r="AO91" s="62">
        <f t="shared" si="90"/>
        <v>280.99861170359793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5.1971905765708506</v>
      </c>
      <c r="AV91" s="23">
        <f>EXP(-LN(2)/25)*AV90+(1-EXP(-LN(2)/25))/(LN(2)/25)*Calculateur!AQ91*Calculateur!AS91*VLOOKUP('Données projet'!$B$10,Paramètres!$A$1:$I$89,3,0)*0.475*44/12</f>
        <v>7.6140850824278221</v>
      </c>
      <c r="AW91" s="23">
        <f>EXP(-LN(2)/2)*AW90+(1-EXP(-LN(2)/2))/(LN(2)/2)*AQ91*AT91*VLOOKUP('Données projet'!$B$10,Paramètres!$A$1:$I$89,3,0)*0.475*44/12</f>
        <v>3.0429791912446851E-8</v>
      </c>
      <c r="AX91" s="23">
        <f t="shared" si="60"/>
        <v>12.811275689428465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8.5265128291212022E-14</v>
      </c>
      <c r="BE91" s="14">
        <f>BD91*VLOOKUP('Données projet'!$B$11,Paramètres!$A$1:$I$89,3,0)*VLOOKUP('Données projet'!$B$11,Paramètres!$A$1:$I$89,5,0)</f>
        <v>3.990408004028723E-14</v>
      </c>
      <c r="BF91" s="14">
        <f t="shared" si="91"/>
        <v>6.6713074187844705E-13</v>
      </c>
      <c r="BG91" s="22">
        <f t="shared" si="61"/>
        <v>1.2314189815084623E-12</v>
      </c>
      <c r="BH91" s="62">
        <f t="shared" si="62"/>
        <v>293.33333333333456</v>
      </c>
      <c r="BI91" s="62">
        <f ca="1">AVERAGE(OFFSET($BH$3,0,0,'Données projet'!$E$11+1,1))-AVERAGE(OFFSET($H$3,0,0,'Données projet'!$E$11+1,1))</f>
        <v>90.829393941874685</v>
      </c>
      <c r="BJ91" s="62">
        <f t="shared" si="92"/>
        <v>113.5315547498717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0.95357670654119542</v>
      </c>
      <c r="BQ91" s="23">
        <f>EXP(-LN(2)/25)*BQ90+(1-EXP(-LN(2)/25))/(LN(2)/25)*Calculateur!BL91*Calculateur!BN91*VLOOKUP('Données projet'!$B$11,Paramètres!$A$1:$I$89,3,0)*0.475*44/12</f>
        <v>1.1428152455223577</v>
      </c>
      <c r="BR91" s="23">
        <f>EXP(-LN(2)/2)*BR90+(1-EXP(-LN(2)/2))/(LN(2)/2)*BL91*BO91*VLOOKUP('Données projet'!$B$11,Paramètres!$A$1:$I$89,3,0)*0.475*44/12</f>
        <v>4.31080542835456E-9</v>
      </c>
      <c r="BS91" s="24">
        <f t="shared" si="63"/>
        <v>2.0963919563743585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projet'!$B$12,Paramètres!$A$1:$I$89,3,0)*VLOOKUP('Données projet'!$B$12,Paramètres!$A$1:$I$89,5,0)</f>
        <v>-1.4897523215040565E-13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211.95495599943246</v>
      </c>
      <c r="CE91" s="62">
        <f t="shared" si="94"/>
        <v>270.47407508916842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0.79040370051292064</v>
      </c>
      <c r="CL91" s="23">
        <f>EXP(-LN(2)/25)*CL90+(1-EXP(-LN(2)/25))/(LN(2)/25)*Calculateur!CG91*Calculateur!CI91*VLOOKUP('Données projet'!$B$12,Paramètres!$A$1:$I$89,3,0)*0.475*44/12</f>
        <v>3.4292466386757452</v>
      </c>
      <c r="CM91" s="23">
        <f>EXP(-LN(2)/2)*CM90+(1-EXP(-LN(2)/2))/(LN(2)/2)*CG91*CJ91*VLOOKUP('Données projet'!$B$12,Paramètres!$A$1:$I$89,3,0)*0.475*44/12</f>
        <v>2.3520347239996661E-8</v>
      </c>
      <c r="CN91" s="24">
        <f t="shared" si="66"/>
        <v>4.2196503627090136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-4.5474735088646412E-13</v>
      </c>
      <c r="O92" s="14">
        <f>N92*VLOOKUP('Données projet'!$B$9,Paramètres!$A$1:$I$89,3,0)*VLOOKUP('Données projet'!$B$9,Paramètres!$A$1:$I$89,5,0)</f>
        <v>-2.5420376914553347E-13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446.5364328843699</v>
      </c>
      <c r="T92" s="62">
        <f t="shared" si="88"/>
        <v>559.96606361482179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1.6993701486326751</v>
      </c>
      <c r="AA92" s="23">
        <f>EXP(-LN(2)/25)*AA91+(1-EXP(-LN(2)/25))/(LN(2)/25)*Calculateur!V92*Calculateur!X92*VLOOKUP('Données projet'!$B$9,Paramètres!$A$1:$I$89,3,0)*0.475*44/12</f>
        <v>2.0980287279811964</v>
      </c>
      <c r="AB92" s="23">
        <f>EXP(-LN(2)/2)*AB91+(1-EXP(-LN(2)/2))/(LN(2)/2)*V92*Y92*VLOOKUP('Données projet'!$B$9,Paramètres!$A$1:$I$89,3,0)*0.475*44/12</f>
        <v>1.7243142195216739E-8</v>
      </c>
      <c r="AC92" s="24">
        <f t="shared" si="57"/>
        <v>3.7973988938570136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-3.1036506698001178E-14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164.0740581424559</v>
      </c>
      <c r="AO92" s="62">
        <f t="shared" si="90"/>
        <v>280.99861170359793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5.0952768393375392</v>
      </c>
      <c r="AV92" s="23">
        <f>EXP(-LN(2)/25)*AV91+(1-EXP(-LN(2)/25))/(LN(2)/25)*Calculateur!AQ92*Calculateur!AS92*VLOOKUP('Données projet'!$B$10,Paramètres!$A$1:$I$89,3,0)*0.475*44/12</f>
        <v>7.4058775254415012</v>
      </c>
      <c r="AW92" s="23">
        <f>EXP(-LN(2)/2)*AW91+(1-EXP(-LN(2)/2))/(LN(2)/2)*AQ92*AT92*VLOOKUP('Données projet'!$B$10,Paramètres!$A$1:$I$89,3,0)*0.475*44/12</f>
        <v>2.1517112211386729E-8</v>
      </c>
      <c r="AX92" s="23">
        <f t="shared" si="60"/>
        <v>12.501154386296152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8.5265128291212022E-14</v>
      </c>
      <c r="BE92" s="14">
        <f>BD92*VLOOKUP('Données projet'!$B$11,Paramètres!$A$1:$I$89,3,0)*VLOOKUP('Données projet'!$B$11,Paramètres!$A$1:$I$89,5,0)</f>
        <v>3.990408004028723E-14</v>
      </c>
      <c r="BF92" s="14">
        <f t="shared" si="91"/>
        <v>6.6713074187844705E-13</v>
      </c>
      <c r="BG92" s="22">
        <f t="shared" si="61"/>
        <v>1.2314189815084623E-12</v>
      </c>
      <c r="BH92" s="62">
        <f t="shared" si="62"/>
        <v>293.33333333333456</v>
      </c>
      <c r="BI92" s="62">
        <f ca="1">AVERAGE(OFFSET($BH$3,0,0,'Données projet'!$E$11+1,1))-AVERAGE(OFFSET($H$3,0,0,'Données projet'!$E$11+1,1))</f>
        <v>90.829393941874685</v>
      </c>
      <c r="BJ92" s="62">
        <f t="shared" si="92"/>
        <v>113.5315547498717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0.93487764895028291</v>
      </c>
      <c r="BQ92" s="23">
        <f>EXP(-LN(2)/25)*BQ91+(1-EXP(-LN(2)/25))/(LN(2)/25)*Calculateur!BL92*Calculateur!BN92*VLOOKUP('Données projet'!$B$11,Paramètres!$A$1:$I$89,3,0)*0.475*44/12</f>
        <v>1.111564902535507</v>
      </c>
      <c r="BR92" s="23">
        <f>EXP(-LN(2)/2)*BR91+(1-EXP(-LN(2)/2))/(LN(2)/2)*BL92*BO92*VLOOKUP('Données projet'!$B$11,Paramètres!$A$1:$I$89,3,0)*0.475*44/12</f>
        <v>3.0481997507652891E-9</v>
      </c>
      <c r="BS92" s="24">
        <f t="shared" si="63"/>
        <v>2.0464425545339897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projet'!$B$12,Paramètres!$A$1:$I$89,3,0)*VLOOKUP('Données projet'!$B$12,Paramètres!$A$1:$I$89,5,0)</f>
        <v>-1.4897523215040565E-13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211.95495599943246</v>
      </c>
      <c r="CE92" s="62">
        <f t="shared" si="94"/>
        <v>270.47407508916842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0.77490436604451629</v>
      </c>
      <c r="CL92" s="23">
        <f>EXP(-LN(2)/25)*CL91+(1-EXP(-LN(2)/25))/(LN(2)/25)*Calculateur!CG92*Calculateur!CI92*VLOOKUP('Données projet'!$B$12,Paramètres!$A$1:$I$89,3,0)*0.475*44/12</f>
        <v>3.3354737090049138</v>
      </c>
      <c r="CM92" s="23">
        <f>EXP(-LN(2)/2)*CM91+(1-EXP(-LN(2)/2))/(LN(2)/2)*CG92*CJ92*VLOOKUP('Données projet'!$B$12,Paramètres!$A$1:$I$89,3,0)*0.475*44/12</f>
        <v>1.6631397029263935E-8</v>
      </c>
      <c r="CN92" s="24">
        <f t="shared" si="66"/>
        <v>4.1103780916808272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-4.5474735088646412E-13</v>
      </c>
      <c r="O93" s="14">
        <f>N93*VLOOKUP('Données projet'!$B$9,Paramètres!$A$1:$I$89,3,0)*VLOOKUP('Données projet'!$B$9,Paramètres!$A$1:$I$89,5,0)</f>
        <v>-2.5420376914553347E-13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446.5364328843699</v>
      </c>
      <c r="T93" s="62">
        <f t="shared" si="88"/>
        <v>559.96606361482179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1.6660465365314319</v>
      </c>
      <c r="AA93" s="23">
        <f>EXP(-LN(2)/25)*AA92+(1-EXP(-LN(2)/25))/(LN(2)/25)*Calculateur!V93*Calculateur!X93*VLOOKUP('Données projet'!$B$9,Paramètres!$A$1:$I$89,3,0)*0.475*44/12</f>
        <v>2.0406580220840151</v>
      </c>
      <c r="AB93" s="23">
        <f>EXP(-LN(2)/2)*AB92+(1-EXP(-LN(2)/2))/(LN(2)/2)*V93*Y93*VLOOKUP('Données projet'!$B$9,Paramètres!$A$1:$I$89,3,0)*0.475*44/12</f>
        <v>1.2192742775201647E-8</v>
      </c>
      <c r="AC93" s="24">
        <f t="shared" si="57"/>
        <v>3.7067045708081898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-3.1036506698001178E-14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164.0740581424559</v>
      </c>
      <c r="AO93" s="62">
        <f t="shared" si="90"/>
        <v>280.99861170359793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4.9953615683301313</v>
      </c>
      <c r="AV93" s="23">
        <f>EXP(-LN(2)/25)*AV92+(1-EXP(-LN(2)/25))/(LN(2)/25)*Calculateur!AQ93*Calculateur!AS93*VLOOKUP('Données projet'!$B$10,Paramètres!$A$1:$I$89,3,0)*0.475*44/12</f>
        <v>7.2033634150501307</v>
      </c>
      <c r="AW93" s="23">
        <f>EXP(-LN(2)/2)*AW92+(1-EXP(-LN(2)/2))/(LN(2)/2)*AQ93*AT93*VLOOKUP('Données projet'!$B$10,Paramètres!$A$1:$I$89,3,0)*0.475*44/12</f>
        <v>1.5214895956223426E-8</v>
      </c>
      <c r="AX93" s="23">
        <f t="shared" si="60"/>
        <v>12.198724998595159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8.5265128291212022E-14</v>
      </c>
      <c r="BE93" s="14">
        <f>BD93*VLOOKUP('Données projet'!$B$11,Paramètres!$A$1:$I$89,3,0)*VLOOKUP('Données projet'!$B$11,Paramètres!$A$1:$I$89,5,0)</f>
        <v>3.990408004028723E-14</v>
      </c>
      <c r="BF93" s="14">
        <f t="shared" si="91"/>
        <v>6.6713074187844705E-13</v>
      </c>
      <c r="BG93" s="22">
        <f t="shared" si="61"/>
        <v>1.2314189815084623E-12</v>
      </c>
      <c r="BH93" s="62">
        <f t="shared" si="62"/>
        <v>293.33333333333456</v>
      </c>
      <c r="BI93" s="62">
        <f ca="1">AVERAGE(OFFSET($BH$3,0,0,'Données projet'!$E$11+1,1))-AVERAGE(OFFSET($H$3,0,0,'Données projet'!$E$11+1,1))</f>
        <v>90.829393941874685</v>
      </c>
      <c r="BJ93" s="62">
        <f t="shared" si="92"/>
        <v>113.5315547498717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0.91654526847342932</v>
      </c>
      <c r="BQ93" s="23">
        <f>EXP(-LN(2)/25)*BQ92+(1-EXP(-LN(2)/25))/(LN(2)/25)*Calculateur!BL93*Calculateur!BN93*VLOOKUP('Données projet'!$B$11,Paramètres!$A$1:$I$89,3,0)*0.475*44/12</f>
        <v>1.0811691018210159</v>
      </c>
      <c r="BR93" s="23">
        <f>EXP(-LN(2)/2)*BR92+(1-EXP(-LN(2)/2))/(LN(2)/2)*BL93*BO93*VLOOKUP('Données projet'!$B$11,Paramètres!$A$1:$I$89,3,0)*0.475*44/12</f>
        <v>2.15540271417728E-9</v>
      </c>
      <c r="BS93" s="24">
        <f t="shared" si="63"/>
        <v>1.9977143724498478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projet'!$B$12,Paramètres!$A$1:$I$89,3,0)*VLOOKUP('Données projet'!$B$12,Paramètres!$A$1:$I$89,5,0)</f>
        <v>-1.4897523215040565E-13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211.95495599943246</v>
      </c>
      <c r="CE93" s="62">
        <f t="shared" si="94"/>
        <v>270.47407508916842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0.75970896407137678</v>
      </c>
      <c r="CL93" s="23">
        <f>EXP(-LN(2)/25)*CL92+(1-EXP(-LN(2)/25))/(LN(2)/25)*Calculateur!CG93*Calculateur!CI93*VLOOKUP('Données projet'!$B$12,Paramètres!$A$1:$I$89,3,0)*0.475*44/12</f>
        <v>3.2442650050272355</v>
      </c>
      <c r="CM93" s="23">
        <f>EXP(-LN(2)/2)*CM92+(1-EXP(-LN(2)/2))/(LN(2)/2)*CG93*CJ93*VLOOKUP('Données projet'!$B$12,Paramètres!$A$1:$I$89,3,0)*0.475*44/12</f>
        <v>1.176017361999833E-8</v>
      </c>
      <c r="CN93" s="24">
        <f t="shared" si="66"/>
        <v>4.0039739808587855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-4.5474735088646412E-13</v>
      </c>
      <c r="O94" s="14">
        <f>N94*VLOOKUP('Données projet'!$B$9,Paramètres!$A$1:$I$89,3,0)*VLOOKUP('Données projet'!$B$9,Paramètres!$A$1:$I$89,5,0)</f>
        <v>-2.5420376914553347E-13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446.5364328843699</v>
      </c>
      <c r="T94" s="62">
        <f t="shared" si="88"/>
        <v>559.96606361482179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1.6333763801380976</v>
      </c>
      <c r="AA94" s="23">
        <f>EXP(-LN(2)/25)*AA93+(1-EXP(-LN(2)/25))/(LN(2)/25)*Calculateur!V94*Calculateur!X94*VLOOKUP('Données projet'!$B$9,Paramètres!$A$1:$I$89,3,0)*0.475*44/12</f>
        <v>1.9848561211565863</v>
      </c>
      <c r="AB94" s="23">
        <f>EXP(-LN(2)/2)*AB93+(1-EXP(-LN(2)/2))/(LN(2)/2)*V94*Y94*VLOOKUP('Données projet'!$B$9,Paramètres!$A$1:$I$89,3,0)*0.475*44/12</f>
        <v>8.6215710976083694E-9</v>
      </c>
      <c r="AC94" s="24">
        <f t="shared" si="57"/>
        <v>3.6182325099162549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-3.1036506698001178E-14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164.0740581424559</v>
      </c>
      <c r="AO94" s="62">
        <f t="shared" si="90"/>
        <v>280.99861170359793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4.897405574844881</v>
      </c>
      <c r="AV94" s="23">
        <f>EXP(-LN(2)/25)*AV93+(1-EXP(-LN(2)/25))/(LN(2)/25)*Calculateur!AQ94*Calculateur!AS94*VLOOKUP('Données projet'!$B$10,Paramètres!$A$1:$I$89,3,0)*0.475*44/12</f>
        <v>7.0063870636571668</v>
      </c>
      <c r="AW94" s="23">
        <f>EXP(-LN(2)/2)*AW93+(1-EXP(-LN(2)/2))/(LN(2)/2)*AQ94*AT94*VLOOKUP('Données projet'!$B$10,Paramètres!$A$1:$I$89,3,0)*0.475*44/12</f>
        <v>1.0758556105693365E-8</v>
      </c>
      <c r="AX94" s="23">
        <f t="shared" si="60"/>
        <v>11.903792649260604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8.5265128291212022E-14</v>
      </c>
      <c r="BE94" s="14">
        <f>BD94*VLOOKUP('Données projet'!$B$11,Paramètres!$A$1:$I$89,3,0)*VLOOKUP('Données projet'!$B$11,Paramètres!$A$1:$I$89,5,0)</f>
        <v>3.990408004028723E-14</v>
      </c>
      <c r="BF94" s="14">
        <f t="shared" si="91"/>
        <v>6.6713074187844705E-13</v>
      </c>
      <c r="BG94" s="22">
        <f t="shared" si="61"/>
        <v>1.2314189815084623E-12</v>
      </c>
      <c r="BH94" s="62">
        <f t="shared" si="62"/>
        <v>293.33333333333456</v>
      </c>
      <c r="BI94" s="62">
        <f ca="1">AVERAGE(OFFSET($BH$3,0,0,'Données projet'!$E$11+1,1))-AVERAGE(OFFSET($H$3,0,0,'Données projet'!$E$11+1,1))</f>
        <v>90.829393941874685</v>
      </c>
      <c r="BJ94" s="62">
        <f t="shared" si="92"/>
        <v>113.5315547498717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0.89857237479607877</v>
      </c>
      <c r="BQ94" s="23">
        <f>EXP(-LN(2)/25)*BQ93+(1-EXP(-LN(2)/25))/(LN(2)/25)*Calculateur!BL94*Calculateur!BN94*VLOOKUP('Données projet'!$B$11,Paramètres!$A$1:$I$89,3,0)*0.475*44/12</f>
        <v>1.0516044758755081</v>
      </c>
      <c r="BR94" s="23">
        <f>EXP(-LN(2)/2)*BR93+(1-EXP(-LN(2)/2))/(LN(2)/2)*BL94*BO94*VLOOKUP('Données projet'!$B$11,Paramètres!$A$1:$I$89,3,0)*0.475*44/12</f>
        <v>1.5240998753826446E-9</v>
      </c>
      <c r="BS94" s="24">
        <f t="shared" si="63"/>
        <v>1.9501768521956868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projet'!$B$12,Paramètres!$A$1:$I$89,3,0)*VLOOKUP('Données projet'!$B$12,Paramètres!$A$1:$I$89,5,0)</f>
        <v>-1.4897523215040565E-13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211.95495599943246</v>
      </c>
      <c r="CE94" s="62">
        <f t="shared" si="94"/>
        <v>270.47407508916842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0.74481153466265049</v>
      </c>
      <c r="CL94" s="23">
        <f>EXP(-LN(2)/25)*CL93+(1-EXP(-LN(2)/25))/(LN(2)/25)*Calculateur!CG94*Calculateur!CI94*VLOOKUP('Données projet'!$B$12,Paramètres!$A$1:$I$89,3,0)*0.475*44/12</f>
        <v>3.1555504078562842</v>
      </c>
      <c r="CM94" s="23">
        <f>EXP(-LN(2)/2)*CM93+(1-EXP(-LN(2)/2))/(LN(2)/2)*CG94*CJ94*VLOOKUP('Données projet'!$B$12,Paramètres!$A$1:$I$89,3,0)*0.475*44/12</f>
        <v>8.3156985146319677E-9</v>
      </c>
      <c r="CN94" s="24">
        <f t="shared" si="66"/>
        <v>3.900361950834633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-4.5474735088646412E-13</v>
      </c>
      <c r="O95" s="14">
        <f>N95*VLOOKUP('Données projet'!$B$9,Paramètres!$A$1:$I$89,3,0)*VLOOKUP('Données projet'!$B$9,Paramètres!$A$1:$I$89,5,0)</f>
        <v>-2.5420376914553347E-13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446.5364328843699</v>
      </c>
      <c r="T95" s="62">
        <f t="shared" si="88"/>
        <v>559.96606361482179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1.6013468655848089</v>
      </c>
      <c r="AA95" s="23">
        <f>EXP(-LN(2)/25)*AA94+(1-EXP(-LN(2)/25))/(LN(2)/25)*Calculateur!V95*Calculateur!X95*VLOOKUP('Données projet'!$B$9,Paramètres!$A$1:$I$89,3,0)*0.475*44/12</f>
        <v>1.9305801261445124</v>
      </c>
      <c r="AB95" s="23">
        <f>EXP(-LN(2)/2)*AB94+(1-EXP(-LN(2)/2))/(LN(2)/2)*V95*Y95*VLOOKUP('Données projet'!$B$9,Paramètres!$A$1:$I$89,3,0)*0.475*44/12</f>
        <v>6.0963713876008237E-9</v>
      </c>
      <c r="AC95" s="24">
        <f t="shared" si="57"/>
        <v>3.5319269978256926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-3.1036506698001178E-14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164.0740581424559</v>
      </c>
      <c r="AO95" s="62">
        <f t="shared" si="90"/>
        <v>280.99861170359793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4.8013704386446197</v>
      </c>
      <c r="AV95" s="23">
        <f>EXP(-LN(2)/25)*AV94+(1-EXP(-LN(2)/25))/(LN(2)/25)*Calculateur!AQ95*Calculateur!AS95*VLOOKUP('Données projet'!$B$10,Paramètres!$A$1:$I$89,3,0)*0.475*44/12</f>
        <v>6.8147970409515795</v>
      </c>
      <c r="AW95" s="23">
        <f>EXP(-LN(2)/2)*AW94+(1-EXP(-LN(2)/2))/(LN(2)/2)*AQ95*AT95*VLOOKUP('Données projet'!$B$10,Paramètres!$A$1:$I$89,3,0)*0.475*44/12</f>
        <v>7.6074479781117128E-9</v>
      </c>
      <c r="AX95" s="23">
        <f t="shared" si="60"/>
        <v>11.616167487203647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8.5265128291212022E-14</v>
      </c>
      <c r="BE95" s="14">
        <f>BD95*VLOOKUP('Données projet'!$B$11,Paramètres!$A$1:$I$89,3,0)*VLOOKUP('Données projet'!$B$11,Paramètres!$A$1:$I$89,5,0)</f>
        <v>3.990408004028723E-14</v>
      </c>
      <c r="BF95" s="14">
        <f t="shared" si="91"/>
        <v>6.6713074187844705E-13</v>
      </c>
      <c r="BG95" s="22">
        <f t="shared" si="61"/>
        <v>1.2314189815084623E-12</v>
      </c>
      <c r="BH95" s="62">
        <f t="shared" si="62"/>
        <v>293.33333333333456</v>
      </c>
      <c r="BI95" s="62">
        <f ca="1">AVERAGE(OFFSET($BH$3,0,0,'Données projet'!$E$11+1,1))-AVERAGE(OFFSET($H$3,0,0,'Données projet'!$E$11+1,1))</f>
        <v>90.829393941874685</v>
      </c>
      <c r="BJ95" s="62">
        <f t="shared" si="92"/>
        <v>113.5315547498717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0.88095191860135835</v>
      </c>
      <c r="BQ95" s="23">
        <f>EXP(-LN(2)/25)*BQ94+(1-EXP(-LN(2)/25))/(LN(2)/25)*Calculateur!BL95*Calculateur!BN95*VLOOKUP('Données projet'!$B$11,Paramètres!$A$1:$I$89,3,0)*0.475*44/12</f>
        <v>1.0228482961812164</v>
      </c>
      <c r="BR95" s="23">
        <f>EXP(-LN(2)/2)*BR94+(1-EXP(-LN(2)/2))/(LN(2)/2)*BL95*BO95*VLOOKUP('Données projet'!$B$11,Paramètres!$A$1:$I$89,3,0)*0.475*44/12</f>
        <v>1.07770135708864E-9</v>
      </c>
      <c r="BS95" s="24">
        <f t="shared" si="63"/>
        <v>1.903800215860276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projet'!$B$12,Paramètres!$A$1:$I$89,3,0)*VLOOKUP('Données projet'!$B$12,Paramètres!$A$1:$I$89,5,0)</f>
        <v>-1.4897523215040565E-13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211.95495599943246</v>
      </c>
      <c r="CE95" s="62">
        <f t="shared" si="94"/>
        <v>270.47407508916842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0.73020623475809465</v>
      </c>
      <c r="CL95" s="23">
        <f>EXP(-LN(2)/25)*CL94+(1-EXP(-LN(2)/25))/(LN(2)/25)*Calculateur!CG95*Calculateur!CI95*VLOOKUP('Données projet'!$B$12,Paramètres!$A$1:$I$89,3,0)*0.475*44/12</f>
        <v>3.0692617160102702</v>
      </c>
      <c r="CM95" s="23">
        <f>EXP(-LN(2)/2)*CM94+(1-EXP(-LN(2)/2))/(LN(2)/2)*CG95*CJ95*VLOOKUP('Données projet'!$B$12,Paramètres!$A$1:$I$89,3,0)*0.475*44/12</f>
        <v>5.8800868099991651E-9</v>
      </c>
      <c r="CN95" s="24">
        <f t="shared" si="66"/>
        <v>3.7994679566484515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-4.5474735088646412E-13</v>
      </c>
      <c r="O96" s="14">
        <f>N96*VLOOKUP('Données projet'!$B$9,Paramètres!$A$1:$I$89,3,0)*VLOOKUP('Données projet'!$B$9,Paramètres!$A$1:$I$89,5,0)</f>
        <v>-2.5420376914553347E-13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446.5364328843699</v>
      </c>
      <c r="T96" s="62">
        <f t="shared" si="88"/>
        <v>559.96606361482179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1.5699454302758351</v>
      </c>
      <c r="AA96" s="23">
        <f>EXP(-LN(2)/25)*AA95+(1-EXP(-LN(2)/25))/(LN(2)/25)*Calculateur!V96*Calculateur!X96*VLOOKUP('Données projet'!$B$9,Paramètres!$A$1:$I$89,3,0)*0.475*44/12</f>
        <v>1.8777883110702942</v>
      </c>
      <c r="AB96" s="23">
        <f>EXP(-LN(2)/2)*AB95+(1-EXP(-LN(2)/2))/(LN(2)/2)*V96*Y96*VLOOKUP('Données projet'!$B$9,Paramètres!$A$1:$I$89,3,0)*0.475*44/12</f>
        <v>4.3107855488041847E-9</v>
      </c>
      <c r="AC96" s="24">
        <f t="shared" si="57"/>
        <v>3.4477337456569148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-3.1036506698001178E-14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164.0740581424559</v>
      </c>
      <c r="AO96" s="62">
        <f t="shared" si="90"/>
        <v>280.99861170359793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4.7072184928895959</v>
      </c>
      <c r="AV96" s="23">
        <f>EXP(-LN(2)/25)*AV95+(1-EXP(-LN(2)/25))/(LN(2)/25)*Calculateur!AQ96*Calculateur!AS96*VLOOKUP('Données projet'!$B$10,Paramètres!$A$1:$I$89,3,0)*0.475*44/12</f>
        <v>6.628446057492158</v>
      </c>
      <c r="AW96" s="23">
        <f>EXP(-LN(2)/2)*AW95+(1-EXP(-LN(2)/2))/(LN(2)/2)*AQ96*AT96*VLOOKUP('Données projet'!$B$10,Paramètres!$A$1:$I$89,3,0)*0.475*44/12</f>
        <v>5.3792780528466824E-9</v>
      </c>
      <c r="AX96" s="23">
        <f t="shared" si="60"/>
        <v>11.335664555761031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8.5265128291212022E-14</v>
      </c>
      <c r="BE96" s="14">
        <f>BD96*VLOOKUP('Données projet'!$B$11,Paramètres!$A$1:$I$89,3,0)*VLOOKUP('Données projet'!$B$11,Paramètres!$A$1:$I$89,5,0)</f>
        <v>3.990408004028723E-14</v>
      </c>
      <c r="BF96" s="14">
        <f t="shared" si="91"/>
        <v>6.6713074187844705E-13</v>
      </c>
      <c r="BG96" s="22">
        <f t="shared" si="61"/>
        <v>1.2314189815084623E-12</v>
      </c>
      <c r="BH96" s="62">
        <f t="shared" si="62"/>
        <v>293.33333333333456</v>
      </c>
      <c r="BI96" s="62">
        <f ca="1">AVERAGE(OFFSET($BH$3,0,0,'Données projet'!$E$11+1,1))-AVERAGE(OFFSET($H$3,0,0,'Données projet'!$E$11+1,1))</f>
        <v>90.829393941874685</v>
      </c>
      <c r="BJ96" s="62">
        <f t="shared" si="92"/>
        <v>113.5315547498717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0.86367698880519939</v>
      </c>
      <c r="BQ96" s="23">
        <f>EXP(-LN(2)/25)*BQ95+(1-EXP(-LN(2)/25))/(LN(2)/25)*Calculateur!BL96*Calculateur!BN96*VLOOKUP('Données projet'!$B$11,Paramètres!$A$1:$I$89,3,0)*0.475*44/12</f>
        <v>0.99487845573288691</v>
      </c>
      <c r="BR96" s="23">
        <f>EXP(-LN(2)/2)*BR95+(1-EXP(-LN(2)/2))/(LN(2)/2)*BL96*BO96*VLOOKUP('Données projet'!$B$11,Paramètres!$A$1:$I$89,3,0)*0.475*44/12</f>
        <v>7.6204993769132228E-10</v>
      </c>
      <c r="BS96" s="24">
        <f t="shared" si="63"/>
        <v>1.8585554453001363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projet'!$B$12,Paramètres!$A$1:$I$89,3,0)*VLOOKUP('Données projet'!$B$12,Paramètres!$A$1:$I$89,5,0)</f>
        <v>-1.4897523215040565E-13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211.95495599943246</v>
      </c>
      <c r="CE96" s="62">
        <f t="shared" si="94"/>
        <v>270.47407508916842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0.71588733587631381</v>
      </c>
      <c r="CL96" s="23">
        <f>EXP(-LN(2)/25)*CL95+(1-EXP(-LN(2)/25))/(LN(2)/25)*Calculateur!CG96*Calculateur!CI96*VLOOKUP('Données projet'!$B$12,Paramètres!$A$1:$I$89,3,0)*0.475*44/12</f>
        <v>2.9853325929805106</v>
      </c>
      <c r="CM96" s="23">
        <f>EXP(-LN(2)/2)*CM95+(1-EXP(-LN(2)/2))/(LN(2)/2)*CG96*CJ96*VLOOKUP('Données projet'!$B$12,Paramètres!$A$1:$I$89,3,0)*0.475*44/12</f>
        <v>4.1578492573159839E-9</v>
      </c>
      <c r="CN96" s="24">
        <f t="shared" si="66"/>
        <v>3.7012199330146736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-4.5474735088646412E-13</v>
      </c>
      <c r="O97" s="14">
        <f>N97*VLOOKUP('Données projet'!$B$9,Paramètres!$A$1:$I$89,3,0)*VLOOKUP('Données projet'!$B$9,Paramètres!$A$1:$I$89,5,0)</f>
        <v>-2.5420376914553347E-13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446.5364328843699</v>
      </c>
      <c r="T97" s="62">
        <f t="shared" si="88"/>
        <v>559.96606361482179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1.539159757960286</v>
      </c>
      <c r="AA97" s="23">
        <f>EXP(-LN(2)/25)*AA96+(1-EXP(-LN(2)/25))/(LN(2)/25)*Calculateur!V97*Calculateur!X97*VLOOKUP('Données projet'!$B$9,Paramètres!$A$1:$I$89,3,0)*0.475*44/12</f>
        <v>1.8264400909554814</v>
      </c>
      <c r="AB97" s="23">
        <f>EXP(-LN(2)/2)*AB96+(1-EXP(-LN(2)/2))/(LN(2)/2)*V97*Y97*VLOOKUP('Données projet'!$B$9,Paramètres!$A$1:$I$89,3,0)*0.475*44/12</f>
        <v>3.0481856938004119E-9</v>
      </c>
      <c r="AC97" s="24">
        <f t="shared" si="57"/>
        <v>3.3655998519639532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-3.1036506698001178E-14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164.0740581424559</v>
      </c>
      <c r="AO97" s="62">
        <f t="shared" si="90"/>
        <v>280.99861170359793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4.6149128093638119</v>
      </c>
      <c r="AV97" s="23">
        <f>EXP(-LN(2)/25)*AV96+(1-EXP(-LN(2)/25))/(LN(2)/25)*Calculateur!AQ97*Calculateur!AS97*VLOOKUP('Données projet'!$B$10,Paramètres!$A$1:$I$89,3,0)*0.475*44/12</f>
        <v>6.4471908514752059</v>
      </c>
      <c r="AW97" s="23">
        <f>EXP(-LN(2)/2)*AW96+(1-EXP(-LN(2)/2))/(LN(2)/2)*AQ97*AT97*VLOOKUP('Données projet'!$B$10,Paramètres!$A$1:$I$89,3,0)*0.475*44/12</f>
        <v>3.8037239890558564E-9</v>
      </c>
      <c r="AX97" s="23">
        <f t="shared" si="60"/>
        <v>11.062103664642741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8.5265128291212022E-14</v>
      </c>
      <c r="BE97" s="14">
        <f>BD97*VLOOKUP('Données projet'!$B$11,Paramètres!$A$1:$I$89,3,0)*VLOOKUP('Données projet'!$B$11,Paramètres!$A$1:$I$89,5,0)</f>
        <v>3.990408004028723E-14</v>
      </c>
      <c r="BF97" s="14">
        <f t="shared" si="91"/>
        <v>6.6713074187844705E-13</v>
      </c>
      <c r="BG97" s="22">
        <f t="shared" si="61"/>
        <v>1.2314189815084623E-12</v>
      </c>
      <c r="BH97" s="62">
        <f t="shared" si="62"/>
        <v>293.33333333333456</v>
      </c>
      <c r="BI97" s="62">
        <f ca="1">AVERAGE(OFFSET($BH$3,0,0,'Données projet'!$E$11+1,1))-AVERAGE(OFFSET($H$3,0,0,'Données projet'!$E$11+1,1))</f>
        <v>90.829393941874685</v>
      </c>
      <c r="BJ97" s="62">
        <f t="shared" si="92"/>
        <v>113.5315547498717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0.84674080984567635</v>
      </c>
      <c r="BQ97" s="23">
        <f>EXP(-LN(2)/25)*BQ96+(1-EXP(-LN(2)/25))/(LN(2)/25)*Calculateur!BL97*Calculateur!BN97*VLOOKUP('Données projet'!$B$11,Paramètres!$A$1:$I$89,3,0)*0.475*44/12</f>
        <v>0.967673452042487</v>
      </c>
      <c r="BR97" s="23">
        <f>EXP(-LN(2)/2)*BR96+(1-EXP(-LN(2)/2))/(LN(2)/2)*BL97*BO97*VLOOKUP('Données projet'!$B$11,Paramètres!$A$1:$I$89,3,0)*0.475*44/12</f>
        <v>5.3885067854431999E-10</v>
      </c>
      <c r="BS97" s="24">
        <f t="shared" si="63"/>
        <v>1.8144142624270141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projet'!$B$12,Paramètres!$A$1:$I$89,3,0)*VLOOKUP('Données projet'!$B$12,Paramètres!$A$1:$I$89,5,0)</f>
        <v>-1.4897523215040565E-13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211.95495599943246</v>
      </c>
      <c r="CE97" s="62">
        <f t="shared" si="94"/>
        <v>270.47407508916842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0.70184922186793874</v>
      </c>
      <c r="CL97" s="23">
        <f>EXP(-LN(2)/25)*CL96+(1-EXP(-LN(2)/25))/(LN(2)/25)*Calculateur!CG97*Calculateur!CI97*VLOOKUP('Données projet'!$B$12,Paramètres!$A$1:$I$89,3,0)*0.475*44/12</f>
        <v>2.9036985162336406</v>
      </c>
      <c r="CM97" s="23">
        <f>EXP(-LN(2)/2)*CM96+(1-EXP(-LN(2)/2))/(LN(2)/2)*CG97*CJ97*VLOOKUP('Données projet'!$B$12,Paramètres!$A$1:$I$89,3,0)*0.475*44/12</f>
        <v>2.9400434049995826E-9</v>
      </c>
      <c r="CN97" s="24">
        <f t="shared" si="66"/>
        <v>3.6055477410416228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-4.5474735088646412E-13</v>
      </c>
      <c r="O98" s="14">
        <f>N98*VLOOKUP('Données projet'!$B$9,Paramètres!$A$1:$I$89,3,0)*VLOOKUP('Données projet'!$B$9,Paramètres!$A$1:$I$89,5,0)</f>
        <v>-2.5420376914553347E-13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446.5364328843699</v>
      </c>
      <c r="T98" s="62">
        <f t="shared" si="88"/>
        <v>559.96606361482179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1.5089777739014389</v>
      </c>
      <c r="AA98" s="23">
        <f>EXP(-LN(2)/25)*AA97+(1-EXP(-LN(2)/25))/(LN(2)/25)*Calculateur!V98*Calculateur!X98*VLOOKUP('Données projet'!$B$9,Paramètres!$A$1:$I$89,3,0)*0.475*44/12</f>
        <v>1.7764959906199937</v>
      </c>
      <c r="AB98" s="23">
        <f>EXP(-LN(2)/2)*AB97+(1-EXP(-LN(2)/2))/(LN(2)/2)*V98*Y98*VLOOKUP('Données projet'!$B$9,Paramètres!$A$1:$I$89,3,0)*0.475*44/12</f>
        <v>2.1553927744020923E-9</v>
      </c>
      <c r="AC98" s="24">
        <f t="shared" si="57"/>
        <v>3.2854737666768252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-3.1036506698001178E-14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164.0740581424559</v>
      </c>
      <c r="AO98" s="62">
        <f t="shared" si="90"/>
        <v>280.99861170359793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4.5244171839910612</v>
      </c>
      <c r="AV98" s="23">
        <f>EXP(-LN(2)/25)*AV97+(1-EXP(-LN(2)/25))/(LN(2)/25)*Calculateur!AQ98*Calculateur!AS98*VLOOKUP('Données projet'!$B$10,Paramètres!$A$1:$I$89,3,0)*0.475*44/12</f>
        <v>6.2708920785985844</v>
      </c>
      <c r="AW98" s="23">
        <f>EXP(-LN(2)/2)*AW97+(1-EXP(-LN(2)/2))/(LN(2)/2)*AQ98*AT98*VLOOKUP('Données projet'!$B$10,Paramètres!$A$1:$I$89,3,0)*0.475*44/12</f>
        <v>2.6896390264233412E-9</v>
      </c>
      <c r="AX98" s="23">
        <f t="shared" si="60"/>
        <v>10.795309265279284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8.5265128291212022E-14</v>
      </c>
      <c r="BE98" s="14">
        <f>BD98*VLOOKUP('Données projet'!$B$11,Paramètres!$A$1:$I$89,3,0)*VLOOKUP('Données projet'!$B$11,Paramètres!$A$1:$I$89,5,0)</f>
        <v>3.990408004028723E-14</v>
      </c>
      <c r="BF98" s="14">
        <f t="shared" si="91"/>
        <v>6.6713074187844705E-13</v>
      </c>
      <c r="BG98" s="22">
        <f t="shared" si="61"/>
        <v>1.2314189815084623E-12</v>
      </c>
      <c r="BH98" s="62">
        <f t="shared" si="62"/>
        <v>293.33333333333456</v>
      </c>
      <c r="BI98" s="62">
        <f ca="1">AVERAGE(OFFSET($BH$3,0,0,'Données projet'!$E$11+1,1))-AVERAGE(OFFSET($H$3,0,0,'Données projet'!$E$11+1,1))</f>
        <v>90.829393941874685</v>
      </c>
      <c r="BJ98" s="62">
        <f t="shared" si="92"/>
        <v>113.5315547498717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0.83013673902550034</v>
      </c>
      <c r="BQ98" s="23">
        <f>EXP(-LN(2)/25)*BQ97+(1-EXP(-LN(2)/25))/(LN(2)/25)*Calculateur!BL98*Calculateur!BN98*VLOOKUP('Données projet'!$B$11,Paramètres!$A$1:$I$89,3,0)*0.475*44/12</f>
        <v>0.94121237060865004</v>
      </c>
      <c r="BR98" s="23">
        <f>EXP(-LN(2)/2)*BR97+(1-EXP(-LN(2)/2))/(LN(2)/2)*BL98*BO98*VLOOKUP('Données projet'!$B$11,Paramètres!$A$1:$I$89,3,0)*0.475*44/12</f>
        <v>3.8102496884566114E-10</v>
      </c>
      <c r="BS98" s="24">
        <f t="shared" si="63"/>
        <v>1.7713491100151755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projet'!$B$12,Paramètres!$A$1:$I$89,3,0)*VLOOKUP('Données projet'!$B$12,Paramètres!$A$1:$I$89,5,0)</f>
        <v>-1.4897523215040565E-13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211.95495599943246</v>
      </c>
      <c r="CE98" s="62">
        <f t="shared" si="94"/>
        <v>270.47407508916842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0.68808638671286382</v>
      </c>
      <c r="CL98" s="23">
        <f>EXP(-LN(2)/25)*CL97+(1-EXP(-LN(2)/25))/(LN(2)/25)*Calculateur!CG98*Calculateur!CI98*VLOOKUP('Données projet'!$B$12,Paramètres!$A$1:$I$89,3,0)*0.475*44/12</f>
        <v>2.8242967276083633</v>
      </c>
      <c r="CM98" s="23">
        <f>EXP(-LN(2)/2)*CM97+(1-EXP(-LN(2)/2))/(LN(2)/2)*CG98*CJ98*VLOOKUP('Données projet'!$B$12,Paramètres!$A$1:$I$89,3,0)*0.475*44/12</f>
        <v>2.0789246286579919E-9</v>
      </c>
      <c r="CN98" s="24">
        <f t="shared" si="66"/>
        <v>3.5123831164001516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-4.5474735088646412E-13</v>
      </c>
      <c r="O99" s="14">
        <f>N99*VLOOKUP('Données projet'!$B$9,Paramètres!$A$1:$I$89,3,0)*VLOOKUP('Données projet'!$B$9,Paramètres!$A$1:$I$89,5,0)</f>
        <v>-2.5420376914553347E-13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446.5364328843699</v>
      </c>
      <c r="T99" s="62">
        <f t="shared" si="88"/>
        <v>559.96606361482179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1.4793876401407933</v>
      </c>
      <c r="AA99" s="23">
        <f>EXP(-LN(2)/25)*AA98+(1-EXP(-LN(2)/25))/(LN(2)/25)*Calculateur!V99*Calculateur!X99*VLOOKUP('Données projet'!$B$9,Paramètres!$A$1:$I$89,3,0)*0.475*44/12</f>
        <v>1.7279176143346262</v>
      </c>
      <c r="AB99" s="23">
        <f>EXP(-LN(2)/2)*AB98+(1-EXP(-LN(2)/2))/(LN(2)/2)*V99*Y99*VLOOKUP('Données projet'!$B$9,Paramètres!$A$1:$I$89,3,0)*0.475*44/12</f>
        <v>1.5240928469002059E-9</v>
      </c>
      <c r="AC99" s="24">
        <f t="shared" si="57"/>
        <v>3.2073052559995121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-3.1036506698001178E-14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164.0740581424559</v>
      </c>
      <c r="AO99" s="62">
        <f t="shared" si="90"/>
        <v>280.99861170359793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4.4356961226349885</v>
      </c>
      <c r="AV99" s="23">
        <f>EXP(-LN(2)/25)*AV98+(1-EXP(-LN(2)/25))/(LN(2)/25)*Calculateur!AQ99*Calculateur!AS99*VLOOKUP('Données projet'!$B$10,Paramètres!$A$1:$I$89,3,0)*0.475*44/12</f>
        <v>6.0994142049374238</v>
      </c>
      <c r="AW99" s="23">
        <f>EXP(-LN(2)/2)*AW98+(1-EXP(-LN(2)/2))/(LN(2)/2)*AQ99*AT99*VLOOKUP('Données projet'!$B$10,Paramètres!$A$1:$I$89,3,0)*0.475*44/12</f>
        <v>1.9018619945279282E-9</v>
      </c>
      <c r="AX99" s="23">
        <f t="shared" si="60"/>
        <v>10.535110329474273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8.5265128291212022E-14</v>
      </c>
      <c r="BE99" s="14">
        <f>BD99*VLOOKUP('Données projet'!$B$11,Paramètres!$A$1:$I$89,3,0)*VLOOKUP('Données projet'!$B$11,Paramètres!$A$1:$I$89,5,0)</f>
        <v>3.990408004028723E-14</v>
      </c>
      <c r="BF99" s="14">
        <f t="shared" si="91"/>
        <v>6.6713074187844705E-13</v>
      </c>
      <c r="BG99" s="22">
        <f t="shared" si="61"/>
        <v>1.2314189815084623E-12</v>
      </c>
      <c r="BH99" s="62">
        <f t="shared" si="62"/>
        <v>293.33333333333456</v>
      </c>
      <c r="BI99" s="62">
        <f ca="1">AVERAGE(OFFSET($BH$3,0,0,'Données projet'!$E$11+1,1))-AVERAGE(OFFSET($H$3,0,0,'Données projet'!$E$11+1,1))</f>
        <v>90.829393941874685</v>
      </c>
      <c r="BJ99" s="62">
        <f t="shared" si="92"/>
        <v>113.5315547498717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0.81385826390662486</v>
      </c>
      <c r="BQ99" s="23">
        <f>EXP(-LN(2)/25)*BQ98+(1-EXP(-LN(2)/25))/(LN(2)/25)*Calculateur!BL99*Calculateur!BN99*VLOOKUP('Données projet'!$B$11,Paramètres!$A$1:$I$89,3,0)*0.475*44/12</f>
        <v>0.9154748688381491</v>
      </c>
      <c r="BR99" s="23">
        <f>EXP(-LN(2)/2)*BR98+(1-EXP(-LN(2)/2))/(LN(2)/2)*BL99*BO99*VLOOKUP('Données projet'!$B$11,Paramètres!$A$1:$I$89,3,0)*0.475*44/12</f>
        <v>2.6942533927216E-10</v>
      </c>
      <c r="BS99" s="24">
        <f t="shared" si="63"/>
        <v>1.7293331330141992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projet'!$B$12,Paramètres!$A$1:$I$89,3,0)*VLOOKUP('Données projet'!$B$12,Paramètres!$A$1:$I$89,5,0)</f>
        <v>-1.4897523215040565E-13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211.95495599943246</v>
      </c>
      <c r="CE99" s="62">
        <f t="shared" si="94"/>
        <v>270.47407508916842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0.67459343236067937</v>
      </c>
      <c r="CL99" s="23">
        <f>EXP(-LN(2)/25)*CL98+(1-EXP(-LN(2)/25))/(LN(2)/25)*Calculateur!CG99*Calculateur!CI99*VLOOKUP('Données projet'!$B$12,Paramètres!$A$1:$I$89,3,0)*0.475*44/12</f>
        <v>2.7470661850686029</v>
      </c>
      <c r="CM99" s="23">
        <f>EXP(-LN(2)/2)*CM98+(1-EXP(-LN(2)/2))/(LN(2)/2)*CG99*CJ99*VLOOKUP('Données projet'!$B$12,Paramètres!$A$1:$I$89,3,0)*0.475*44/12</f>
        <v>1.4700217024997913E-9</v>
      </c>
      <c r="CN99" s="24">
        <f t="shared" si="66"/>
        <v>3.4216596188993043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-4.5474735088646412E-13</v>
      </c>
      <c r="O100" s="14">
        <f>N100*VLOOKUP('Données projet'!$B$9,Paramètres!$A$1:$I$89,3,0)*VLOOKUP('Données projet'!$B$9,Paramètres!$A$1:$I$89,5,0)</f>
        <v>-2.5420376914553347E-13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446.5364328843699</v>
      </c>
      <c r="T100" s="62">
        <f t="shared" si="88"/>
        <v>559.96606361482179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1.4503777508549944</v>
      </c>
      <c r="AA100" s="23">
        <f>EXP(-LN(2)/25)*AA99+(1-EXP(-LN(2)/25))/(LN(2)/25)*Calculateur!V100*Calculateur!X100*VLOOKUP('Données projet'!$B$9,Paramètres!$A$1:$I$89,3,0)*0.475*44/12</f>
        <v>1.6806676163034078</v>
      </c>
      <c r="AB100" s="23">
        <f>EXP(-LN(2)/2)*AB99+(1-EXP(-LN(2)/2))/(LN(2)/2)*V100*Y100*VLOOKUP('Données projet'!$B$9,Paramètres!$A$1:$I$89,3,0)*0.475*44/12</f>
        <v>1.0776963872010462E-9</v>
      </c>
      <c r="AC100" s="24">
        <f t="shared" si="57"/>
        <v>3.1310453682360988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-3.1036506698001178E-14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164.0740581424559</v>
      </c>
      <c r="AO100" s="62">
        <f t="shared" si="90"/>
        <v>280.99861170359793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4.3487148271776048</v>
      </c>
      <c r="AV100" s="23">
        <f>EXP(-LN(2)/25)*AV99+(1-EXP(-LN(2)/25))/(LN(2)/25)*Calculateur!AQ100*Calculateur!AS100*VLOOKUP('Données projet'!$B$10,Paramètres!$A$1:$I$89,3,0)*0.475*44/12</f>
        <v>5.9326254027491574</v>
      </c>
      <c r="AW100" s="23">
        <f>EXP(-LN(2)/2)*AW99+(1-EXP(-LN(2)/2))/(LN(2)/2)*AQ100*AT100*VLOOKUP('Données projet'!$B$10,Paramètres!$A$1:$I$89,3,0)*0.475*44/12</f>
        <v>1.3448195132116706E-9</v>
      </c>
      <c r="AX100" s="23">
        <f t="shared" si="60"/>
        <v>10.281340231271582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8.5265128291212022E-14</v>
      </c>
      <c r="BE100" s="14">
        <f>BD100*VLOOKUP('Données projet'!$B$11,Paramètres!$A$1:$I$89,3,0)*VLOOKUP('Données projet'!$B$11,Paramètres!$A$1:$I$89,5,0)</f>
        <v>3.990408004028723E-14</v>
      </c>
      <c r="BF100" s="14">
        <f t="shared" si="91"/>
        <v>6.6713074187844705E-13</v>
      </c>
      <c r="BG100" s="22">
        <f t="shared" si="61"/>
        <v>1.2314189815084623E-12</v>
      </c>
      <c r="BH100" s="62">
        <f t="shared" si="62"/>
        <v>293.33333333333456</v>
      </c>
      <c r="BI100" s="62">
        <f ca="1">AVERAGE(OFFSET($BH$3,0,0,'Données projet'!$E$11+1,1))-AVERAGE(OFFSET($H$3,0,0,'Données projet'!$E$11+1,1))</f>
        <v>90.829393941874685</v>
      </c>
      <c r="BJ100" s="62">
        <f t="shared" si="92"/>
        <v>113.5315547498717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0.79789899975594103</v>
      </c>
      <c r="BQ100" s="23">
        <f>EXP(-LN(2)/25)*BQ99+(1-EXP(-LN(2)/25))/(LN(2)/25)*Calculateur!BL100*Calculateur!BN100*VLOOKUP('Données projet'!$B$11,Paramètres!$A$1:$I$89,3,0)*0.475*44/12</f>
        <v>0.89044116040703891</v>
      </c>
      <c r="BR100" s="23">
        <f>EXP(-LN(2)/2)*BR99+(1-EXP(-LN(2)/2))/(LN(2)/2)*BL100*BO100*VLOOKUP('Données projet'!$B$11,Paramètres!$A$1:$I$89,3,0)*0.475*44/12</f>
        <v>1.9051248442283057E-10</v>
      </c>
      <c r="BS100" s="24">
        <f t="shared" si="63"/>
        <v>1.6883401603534924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projet'!$B$12,Paramètres!$A$1:$I$89,3,0)*VLOOKUP('Données projet'!$B$12,Paramètres!$A$1:$I$89,5,0)</f>
        <v>-1.4897523215040565E-13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211.95495599943246</v>
      </c>
      <c r="CE100" s="62">
        <f t="shared" si="94"/>
        <v>270.47407508916842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0.66136506661345174</v>
      </c>
      <c r="CL100" s="23">
        <f>EXP(-LN(2)/25)*CL99+(1-EXP(-LN(2)/25))/(LN(2)/25)*Calculateur!CG100*Calculateur!CI100*VLOOKUP('Données projet'!$B$12,Paramètres!$A$1:$I$89,3,0)*0.475*44/12</f>
        <v>2.6719475157759698</v>
      </c>
      <c r="CM100" s="23">
        <f>EXP(-LN(2)/2)*CM99+(1-EXP(-LN(2)/2))/(LN(2)/2)*CG100*CJ100*VLOOKUP('Données projet'!$B$12,Paramètres!$A$1:$I$89,3,0)*0.475*44/12</f>
        <v>1.039462314328996E-9</v>
      </c>
      <c r="CN100" s="24">
        <f t="shared" si="66"/>
        <v>3.3333125834288837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-4.5474735088646412E-13</v>
      </c>
      <c r="O101" s="14">
        <f>N101*VLOOKUP('Données projet'!$B$9,Paramètres!$A$1:$I$89,3,0)*VLOOKUP('Données projet'!$B$9,Paramètres!$A$1:$I$89,5,0)</f>
        <v>-2.5420376914553347E-13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446.5364328843699</v>
      </c>
      <c r="T101" s="62">
        <f t="shared" si="88"/>
        <v>559.96606361482179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1.4219367278038049</v>
      </c>
      <c r="AA101" s="23">
        <f>EXP(-LN(2)/25)*AA100+(1-EXP(-LN(2)/25))/(LN(2)/25)*Calculateur!V101*Calculateur!X101*VLOOKUP('Données projet'!$B$9,Paramètres!$A$1:$I$89,3,0)*0.475*44/12</f>
        <v>1.6347096719531224</v>
      </c>
      <c r="AB101" s="23">
        <f>EXP(-LN(2)/2)*AB100+(1-EXP(-LN(2)/2))/(LN(2)/2)*V101*Y101*VLOOKUP('Données projet'!$B$9,Paramètres!$A$1:$I$89,3,0)*0.475*44/12</f>
        <v>7.6204642345010297E-10</v>
      </c>
      <c r="AC101" s="24">
        <f t="shared" si="57"/>
        <v>3.0566464005189737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-3.1036506698001178E-14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164.0740581424559</v>
      </c>
      <c r="AO101" s="62">
        <f t="shared" si="90"/>
        <v>280.99861170359793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4.2634391818707886</v>
      </c>
      <c r="AV101" s="23">
        <f>EXP(-LN(2)/25)*AV100+(1-EXP(-LN(2)/25))/(LN(2)/25)*Calculateur!AQ101*Calculateur!AS101*VLOOKUP('Données projet'!$B$10,Paramètres!$A$1:$I$89,3,0)*0.475*44/12</f>
        <v>5.7703974491277705</v>
      </c>
      <c r="AW101" s="23">
        <f>EXP(-LN(2)/2)*AW100+(1-EXP(-LN(2)/2))/(LN(2)/2)*AQ101*AT101*VLOOKUP('Données projet'!$B$10,Paramètres!$A$1:$I$89,3,0)*0.475*44/12</f>
        <v>9.5093099726396411E-10</v>
      </c>
      <c r="AX101" s="23">
        <f t="shared" si="60"/>
        <v>10.033836631949491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8.5265128291212022E-14</v>
      </c>
      <c r="BE101" s="14">
        <f>BD101*VLOOKUP('Données projet'!$B$11,Paramètres!$A$1:$I$89,3,0)*VLOOKUP('Données projet'!$B$11,Paramètres!$A$1:$I$89,5,0)</f>
        <v>3.990408004028723E-14</v>
      </c>
      <c r="BF101" s="14">
        <f t="shared" si="91"/>
        <v>6.6713074187844705E-13</v>
      </c>
      <c r="BG101" s="22">
        <f t="shared" si="61"/>
        <v>1.2314189815084623E-12</v>
      </c>
      <c r="BH101" s="62">
        <f t="shared" si="62"/>
        <v>293.33333333333456</v>
      </c>
      <c r="BI101" s="62">
        <f ca="1">AVERAGE(OFFSET($BH$3,0,0,'Données projet'!$E$11+1,1))-AVERAGE(OFFSET($H$3,0,0,'Données projet'!$E$11+1,1))</f>
        <v>90.829393941874685</v>
      </c>
      <c r="BJ101" s="62">
        <f t="shared" si="92"/>
        <v>113.5315547498717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0.78225268704106221</v>
      </c>
      <c r="BQ101" s="23">
        <f>EXP(-LN(2)/25)*BQ100+(1-EXP(-LN(2)/25))/(LN(2)/25)*Calculateur!BL101*Calculateur!BN101*VLOOKUP('Données projet'!$B$11,Paramètres!$A$1:$I$89,3,0)*0.475*44/12</f>
        <v>0.86609200004944298</v>
      </c>
      <c r="BR101" s="23">
        <f>EXP(-LN(2)/2)*BR100+(1-EXP(-LN(2)/2))/(LN(2)/2)*BL101*BO101*VLOOKUP('Données projet'!$B$11,Paramètres!$A$1:$I$89,3,0)*0.475*44/12</f>
        <v>1.3471266963608E-10</v>
      </c>
      <c r="BS101" s="24">
        <f t="shared" si="63"/>
        <v>1.6483446872252179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projet'!$B$12,Paramètres!$A$1:$I$89,3,0)*VLOOKUP('Données projet'!$B$12,Paramètres!$A$1:$I$89,5,0)</f>
        <v>-1.4897523215040565E-13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211.95495599943246</v>
      </c>
      <c r="CE101" s="62">
        <f t="shared" si="94"/>
        <v>270.47407508916842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0.64839610105002088</v>
      </c>
      <c r="CL101" s="23">
        <f>EXP(-LN(2)/25)*CL100+(1-EXP(-LN(2)/25))/(LN(2)/25)*Calculateur!CG101*Calculateur!CI101*VLOOKUP('Données projet'!$B$12,Paramètres!$A$1:$I$89,3,0)*0.475*44/12</f>
        <v>2.5988829704454628</v>
      </c>
      <c r="CM101" s="23">
        <f>EXP(-LN(2)/2)*CM100+(1-EXP(-LN(2)/2))/(LN(2)/2)*CG101*CJ101*VLOOKUP('Données projet'!$B$12,Paramètres!$A$1:$I$89,3,0)*0.475*44/12</f>
        <v>7.3501085124989564E-10</v>
      </c>
      <c r="CN101" s="24">
        <f t="shared" si="66"/>
        <v>3.2472790722304943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-4.5474735088646412E-13</v>
      </c>
      <c r="O102" s="14">
        <f>N102*VLOOKUP('Données projet'!$B$9,Paramètres!$A$1:$I$89,3,0)*VLOOKUP('Données projet'!$B$9,Paramètres!$A$1:$I$89,5,0)</f>
        <v>-2.5420376914553347E-13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446.5364328843699</v>
      </c>
      <c r="T102" s="62">
        <f t="shared" si="88"/>
        <v>559.96606361482179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1.3940534158673379</v>
      </c>
      <c r="AA102" s="23">
        <f>EXP(-LN(2)/25)*AA101+(1-EXP(-LN(2)/25))/(LN(2)/25)*Calculateur!V102*Calculateur!X102*VLOOKUP('Données projet'!$B$9,Paramètres!$A$1:$I$89,3,0)*0.475*44/12</f>
        <v>1.5900084500079188</v>
      </c>
      <c r="AB102" s="23">
        <f>EXP(-LN(2)/2)*AB101+(1-EXP(-LN(2)/2))/(LN(2)/2)*V102*Y102*VLOOKUP('Données projet'!$B$9,Paramètres!$A$1:$I$89,3,0)*0.475*44/12</f>
        <v>5.3884819360052309E-10</v>
      </c>
      <c r="AC102" s="24">
        <f t="shared" si="57"/>
        <v>2.9840618664141045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-3.1036506698001178E-14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164.0740581424559</v>
      </c>
      <c r="AO102" s="62">
        <f t="shared" si="90"/>
        <v>280.99861170359793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4.1798357399554309</v>
      </c>
      <c r="AV102" s="23">
        <f>EXP(-LN(2)/25)*AV101+(1-EXP(-LN(2)/25))/(LN(2)/25)*Calculateur!AQ102*Calculateur!AS102*VLOOKUP('Données projet'!$B$10,Paramètres!$A$1:$I$89,3,0)*0.475*44/12</f>
        <v>5.6126056274293585</v>
      </c>
      <c r="AW102" s="23">
        <f>EXP(-LN(2)/2)*AW101+(1-EXP(-LN(2)/2))/(LN(2)/2)*AQ102*AT102*VLOOKUP('Données projet'!$B$10,Paramètres!$A$1:$I$89,3,0)*0.475*44/12</f>
        <v>6.724097566058353E-10</v>
      </c>
      <c r="AX102" s="23">
        <f t="shared" si="60"/>
        <v>9.7924413680571991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8.5265128291212022E-14</v>
      </c>
      <c r="BE102" s="14">
        <f>BD102*VLOOKUP('Données projet'!$B$11,Paramètres!$A$1:$I$89,3,0)*VLOOKUP('Données projet'!$B$11,Paramètres!$A$1:$I$89,5,0)</f>
        <v>3.990408004028723E-14</v>
      </c>
      <c r="BF102" s="14">
        <f t="shared" si="91"/>
        <v>6.6713074187844705E-13</v>
      </c>
      <c r="BG102" s="22">
        <f t="shared" si="61"/>
        <v>1.2314189815084623E-12</v>
      </c>
      <c r="BH102" s="62">
        <f t="shared" si="62"/>
        <v>293.33333333333456</v>
      </c>
      <c r="BI102" s="62">
        <f ca="1">AVERAGE(OFFSET($BH$3,0,0,'Données projet'!$E$11+1,1))-AVERAGE(OFFSET($H$3,0,0,'Données projet'!$E$11+1,1))</f>
        <v>90.829393941874685</v>
      </c>
      <c r="BJ102" s="62">
        <f t="shared" si="92"/>
        <v>113.5315547498717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0.76691318897521366</v>
      </c>
      <c r="BQ102" s="23">
        <f>EXP(-LN(2)/25)*BQ101+(1-EXP(-LN(2)/25))/(LN(2)/25)*Calculateur!BL102*Calculateur!BN102*VLOOKUP('Données projet'!$B$11,Paramètres!$A$1:$I$89,3,0)*0.475*44/12</f>
        <v>0.84240866876229215</v>
      </c>
      <c r="BR102" s="23">
        <f>EXP(-LN(2)/2)*BR101+(1-EXP(-LN(2)/2))/(LN(2)/2)*BL102*BO102*VLOOKUP('Données projet'!$B$11,Paramètres!$A$1:$I$89,3,0)*0.475*44/12</f>
        <v>9.5256242211415284E-11</v>
      </c>
      <c r="BS102" s="24">
        <f t="shared" si="63"/>
        <v>1.6093218578327622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projet'!$B$12,Paramètres!$A$1:$I$89,3,0)*VLOOKUP('Données projet'!$B$12,Paramètres!$A$1:$I$89,5,0)</f>
        <v>-1.4897523215040565E-13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211.95495599943246</v>
      </c>
      <c r="CE102" s="62">
        <f t="shared" si="94"/>
        <v>270.47407508916842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0.63568144899100099</v>
      </c>
      <c r="CL102" s="23">
        <f>EXP(-LN(2)/25)*CL101+(1-EXP(-LN(2)/25))/(LN(2)/25)*Calculateur!CG102*Calculateur!CI102*VLOOKUP('Données projet'!$B$12,Paramètres!$A$1:$I$89,3,0)*0.475*44/12</f>
        <v>2.527816378949316</v>
      </c>
      <c r="CM102" s="23">
        <f>EXP(-LN(2)/2)*CM101+(1-EXP(-LN(2)/2))/(LN(2)/2)*CG102*CJ102*VLOOKUP('Données projet'!$B$12,Paramètres!$A$1:$I$89,3,0)*0.475*44/12</f>
        <v>5.1973115716449798E-10</v>
      </c>
      <c r="CN102" s="24">
        <f t="shared" si="66"/>
        <v>3.1634978284600481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-4.5474735088646412E-13</v>
      </c>
      <c r="O103" s="14">
        <f>N103*VLOOKUP('Données projet'!$B$9,Paramètres!$A$1:$I$89,3,0)*VLOOKUP('Données projet'!$B$9,Paramètres!$A$1:$I$89,5,0)</f>
        <v>-2.5420376914553347E-13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446.5364328843699</v>
      </c>
      <c r="T103" s="62">
        <f t="shared" si="88"/>
        <v>559.96606361482179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1.3667168786708039</v>
      </c>
      <c r="AA103" s="23">
        <f>EXP(-LN(2)/25)*AA102+(1-EXP(-LN(2)/25))/(LN(2)/25)*Calculateur!V103*Calculateur!X103*VLOOKUP('Données projet'!$B$9,Paramètres!$A$1:$I$89,3,0)*0.475*44/12</f>
        <v>1.5465295853275418</v>
      </c>
      <c r="AB103" s="23">
        <f>EXP(-LN(2)/2)*AB102+(1-EXP(-LN(2)/2))/(LN(2)/2)*V103*Y103*VLOOKUP('Données projet'!$B$9,Paramètres!$A$1:$I$89,3,0)*0.475*44/12</f>
        <v>3.8102321172505148E-10</v>
      </c>
      <c r="AC103" s="24">
        <f t="shared" si="57"/>
        <v>2.9132464643793687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-3.1036506698001178E-14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164.0740581424559</v>
      </c>
      <c r="AO103" s="62">
        <f t="shared" si="90"/>
        <v>280.99861170359793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4.0978717105429689</v>
      </c>
      <c r="AV103" s="23">
        <f>EXP(-LN(2)/25)*AV102+(1-EXP(-LN(2)/25))/(LN(2)/25)*Calculateur!AQ103*Calculateur!AS103*VLOOKUP('Données projet'!$B$10,Paramètres!$A$1:$I$89,3,0)*0.475*44/12</f>
        <v>5.4591286313932006</v>
      </c>
      <c r="AW103" s="23">
        <f>EXP(-LN(2)/2)*AW102+(1-EXP(-LN(2)/2))/(LN(2)/2)*AQ103*AT103*VLOOKUP('Données projet'!$B$10,Paramètres!$A$1:$I$89,3,0)*0.475*44/12</f>
        <v>4.7546549863198205E-10</v>
      </c>
      <c r="AX103" s="23">
        <f t="shared" si="60"/>
        <v>9.5570003424116354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8.5265128291212022E-14</v>
      </c>
      <c r="BE103" s="14">
        <f>BD103*VLOOKUP('Données projet'!$B$11,Paramètres!$A$1:$I$89,3,0)*VLOOKUP('Données projet'!$B$11,Paramètres!$A$1:$I$89,5,0)</f>
        <v>3.990408004028723E-14</v>
      </c>
      <c r="BF103" s="14">
        <f t="shared" si="91"/>
        <v>6.6713074187844705E-13</v>
      </c>
      <c r="BG103" s="22">
        <f t="shared" si="61"/>
        <v>1.2314189815084623E-12</v>
      </c>
      <c r="BH103" s="62">
        <f t="shared" si="62"/>
        <v>293.33333333333456</v>
      </c>
      <c r="BI103" s="62">
        <f ca="1">AVERAGE(OFFSET($BH$3,0,0,'Données projet'!$E$11+1,1))-AVERAGE(OFFSET($H$3,0,0,'Données projet'!$E$11+1,1))</f>
        <v>90.829393941874685</v>
      </c>
      <c r="BJ103" s="62">
        <f t="shared" si="92"/>
        <v>113.5315547498717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0.75187448911026644</v>
      </c>
      <c r="BQ103" s="23">
        <f>EXP(-LN(2)/25)*BQ102+(1-EXP(-LN(2)/25))/(LN(2)/25)*Calculateur!BL103*Calculateur!BN103*VLOOKUP('Données projet'!$B$11,Paramètres!$A$1:$I$89,3,0)*0.475*44/12</f>
        <v>0.81937295941464072</v>
      </c>
      <c r="BR103" s="23">
        <f>EXP(-LN(2)/2)*BR102+(1-EXP(-LN(2)/2))/(LN(2)/2)*BL103*BO103*VLOOKUP('Données projet'!$B$11,Paramètres!$A$1:$I$89,3,0)*0.475*44/12</f>
        <v>6.7356334818039999E-11</v>
      </c>
      <c r="BS103" s="24">
        <f t="shared" si="63"/>
        <v>1.5712474485922634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projet'!$B$12,Paramètres!$A$1:$I$89,3,0)*VLOOKUP('Données projet'!$B$12,Paramètres!$A$1:$I$89,5,0)</f>
        <v>-1.4897523215040565E-13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211.95495599943246</v>
      </c>
      <c r="CE103" s="62">
        <f t="shared" si="94"/>
        <v>270.47407508916842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0.62321612350368649</v>
      </c>
      <c r="CL103" s="23">
        <f>EXP(-LN(2)/25)*CL102+(1-EXP(-LN(2)/25))/(LN(2)/25)*Calculateur!CG103*Calculateur!CI103*VLOOKUP('Données projet'!$B$12,Paramètres!$A$1:$I$89,3,0)*0.475*44/12</f>
        <v>2.4586931071348608</v>
      </c>
      <c r="CM103" s="23">
        <f>EXP(-LN(2)/2)*CM102+(1-EXP(-LN(2)/2))/(LN(2)/2)*CG103*CJ103*VLOOKUP('Données projet'!$B$12,Paramètres!$A$1:$I$89,3,0)*0.475*44/12</f>
        <v>3.6750542562494782E-10</v>
      </c>
      <c r="CN103" s="24">
        <f t="shared" si="66"/>
        <v>3.081909231006053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-4.5474735088646412E-13</v>
      </c>
      <c r="O104" s="14">
        <f>N104*VLOOKUP('Données projet'!$B$9,Paramètres!$A$1:$I$89,3,0)*VLOOKUP('Données projet'!$B$9,Paramètres!$A$1:$I$89,5,0)</f>
        <v>-2.5420376914553347E-13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446.5364328843699</v>
      </c>
      <c r="T104" s="62">
        <f t="shared" si="88"/>
        <v>559.96606361482179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1.3399163942950527</v>
      </c>
      <c r="AA104" s="23">
        <f>EXP(-LN(2)/25)*AA103+(1-EXP(-LN(2)/25))/(LN(2)/25)*Calculateur!V104*Calculateur!X104*VLOOKUP('Données projet'!$B$9,Paramètres!$A$1:$I$89,3,0)*0.475*44/12</f>
        <v>1.5042396524883039</v>
      </c>
      <c r="AB104" s="23">
        <f>EXP(-LN(2)/2)*AB103+(1-EXP(-LN(2)/2))/(LN(2)/2)*V104*Y104*VLOOKUP('Données projet'!$B$9,Paramètres!$A$1:$I$89,3,0)*0.475*44/12</f>
        <v>2.6942409680026154E-10</v>
      </c>
      <c r="AC104" s="24">
        <f t="shared" si="57"/>
        <v>2.8441560470527807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-3.1036506698001178E-14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164.0740581424559</v>
      </c>
      <c r="AO104" s="62">
        <f t="shared" si="90"/>
        <v>280.99861170359793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4.0175149457541641</v>
      </c>
      <c r="AV104" s="23">
        <f>EXP(-LN(2)/25)*AV103+(1-EXP(-LN(2)/25))/(LN(2)/25)*Calculateur!AQ104*Calculateur!AS104*VLOOKUP('Données projet'!$B$10,Paramètres!$A$1:$I$89,3,0)*0.475*44/12</f>
        <v>5.3098484718846555</v>
      </c>
      <c r="AW104" s="23">
        <f>EXP(-LN(2)/2)*AW103+(1-EXP(-LN(2)/2))/(LN(2)/2)*AQ104*AT104*VLOOKUP('Données projet'!$B$10,Paramètres!$A$1:$I$89,3,0)*0.475*44/12</f>
        <v>3.3620487830291765E-10</v>
      </c>
      <c r="AX104" s="23">
        <f t="shared" si="60"/>
        <v>9.3273634179750253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8.5265128291212022E-14</v>
      </c>
      <c r="BE104" s="14">
        <f>BD104*VLOOKUP('Données projet'!$B$11,Paramètres!$A$1:$I$89,3,0)*VLOOKUP('Données projet'!$B$11,Paramètres!$A$1:$I$89,5,0)</f>
        <v>3.990408004028723E-14</v>
      </c>
      <c r="BF104" s="14">
        <f t="shared" si="91"/>
        <v>6.6713074187844705E-13</v>
      </c>
      <c r="BG104" s="22">
        <f t="shared" si="61"/>
        <v>1.2314189815084623E-12</v>
      </c>
      <c r="BH104" s="62">
        <f t="shared" si="62"/>
        <v>293.33333333333456</v>
      </c>
      <c r="BI104" s="62">
        <f ca="1">AVERAGE(OFFSET($BH$3,0,0,'Données projet'!$E$11+1,1))-AVERAGE(OFFSET($H$3,0,0,'Données projet'!$E$11+1,1))</f>
        <v>90.829393941874685</v>
      </c>
      <c r="BJ104" s="62">
        <f t="shared" si="92"/>
        <v>113.5315547498717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0.73713068897696965</v>
      </c>
      <c r="BQ104" s="23">
        <f>EXP(-LN(2)/25)*BQ103+(1-EXP(-LN(2)/25))/(LN(2)/25)*Calculateur!BL104*Calculateur!BN104*VLOOKUP('Données projet'!$B$11,Paramètres!$A$1:$I$89,3,0)*0.475*44/12</f>
        <v>0.79696716275049617</v>
      </c>
      <c r="BR104" s="23">
        <f>EXP(-LN(2)/2)*BR103+(1-EXP(-LN(2)/2))/(LN(2)/2)*BL104*BO104*VLOOKUP('Données projet'!$B$11,Paramètres!$A$1:$I$89,3,0)*0.475*44/12</f>
        <v>4.7628121105707642E-11</v>
      </c>
      <c r="BS104" s="24">
        <f t="shared" si="63"/>
        <v>1.5340978517750941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-1.4897523215040565E-13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211.95495599943246</v>
      </c>
      <c r="CE104" s="62">
        <f t="shared" si="94"/>
        <v>270.47407508916842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0.61099523544608036</v>
      </c>
      <c r="CL104" s="23">
        <f>EXP(-LN(2)/25)*CL103+(1-EXP(-LN(2)/25))/(LN(2)/25)*Calculateur!CG104*Calculateur!CI104*VLOOKUP('Données projet'!$B$12,Paramètres!$A$1:$I$89,3,0)*0.475*44/12</f>
        <v>2.391460014823207</v>
      </c>
      <c r="CM104" s="23">
        <f>EXP(-LN(2)/2)*CM103+(1-EXP(-LN(2)/2))/(LN(2)/2)*CG104*CJ104*VLOOKUP('Données projet'!$B$12,Paramètres!$A$1:$I$89,3,0)*0.475*44/12</f>
        <v>2.5986557858224899E-10</v>
      </c>
      <c r="CN104" s="24">
        <f t="shared" si="66"/>
        <v>3.0024552505291529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-4.5474735088646412E-13</v>
      </c>
      <c r="O105" s="14">
        <f>N105*VLOOKUP('Données projet'!$B$9,Paramètres!$A$1:$I$89,3,0)*VLOOKUP('Données projet'!$B$9,Paramètres!$A$1:$I$89,5,0)</f>
        <v>-2.5420376914553347E-13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446.5364328843699</v>
      </c>
      <c r="T105" s="62">
        <f t="shared" si="88"/>
        <v>559.96606361482179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1.3136414510712286</v>
      </c>
      <c r="AA105" s="23">
        <f>EXP(-LN(2)/25)*AA104+(1-EXP(-LN(2)/25))/(LN(2)/25)*Calculateur!V105*Calculateur!X105*VLOOKUP('Données projet'!$B$9,Paramètres!$A$1:$I$89,3,0)*0.475*44/12</f>
        <v>1.463106140086486</v>
      </c>
      <c r="AB105" s="23">
        <f>EXP(-LN(2)/2)*AB104+(1-EXP(-LN(2)/2))/(LN(2)/2)*V105*Y105*VLOOKUP('Données projet'!$B$9,Paramètres!$A$1:$I$89,3,0)*0.475*44/12</f>
        <v>1.9051160586252574E-10</v>
      </c>
      <c r="AC105" s="24">
        <f t="shared" si="57"/>
        <v>2.7767475913482262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-3.1036506698001178E-14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164.0740581424559</v>
      </c>
      <c r="AO105" s="62">
        <f t="shared" si="90"/>
        <v>280.99861170359793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3.9387339281100808</v>
      </c>
      <c r="AV105" s="23">
        <f>EXP(-LN(2)/25)*AV104+(1-EXP(-LN(2)/25))/(LN(2)/25)*Calculateur!AQ105*Calculateur!AS105*VLOOKUP('Données projet'!$B$10,Paramètres!$A$1:$I$89,3,0)*0.475*44/12</f>
        <v>5.1646503861881738</v>
      </c>
      <c r="AW105" s="23">
        <f>EXP(-LN(2)/2)*AW104+(1-EXP(-LN(2)/2))/(LN(2)/2)*AQ105*AT105*VLOOKUP('Données projet'!$B$10,Paramètres!$A$1:$I$89,3,0)*0.475*44/12</f>
        <v>2.3773274931599103E-10</v>
      </c>
      <c r="AX105" s="23">
        <f t="shared" si="60"/>
        <v>9.1033843145359885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8.5265128291212022E-14</v>
      </c>
      <c r="BE105" s="14">
        <f>BD105*VLOOKUP('Données projet'!$B$11,Paramètres!$A$1:$I$89,3,0)*VLOOKUP('Données projet'!$B$11,Paramètres!$A$1:$I$89,5,0)</f>
        <v>3.990408004028723E-14</v>
      </c>
      <c r="BF105" s="14">
        <f t="shared" si="91"/>
        <v>6.6713074187844705E-13</v>
      </c>
      <c r="BG105" s="22">
        <f t="shared" si="61"/>
        <v>1.2314189815084623E-12</v>
      </c>
      <c r="BH105" s="62">
        <f t="shared" si="62"/>
        <v>293.33333333333456</v>
      </c>
      <c r="BI105" s="62">
        <f ca="1">AVERAGE(OFFSET($BH$3,0,0,'Données projet'!$E$11+1,1))-AVERAGE(OFFSET($H$3,0,0,'Données projet'!$E$11+1,1))</f>
        <v>90.829393941874685</v>
      </c>
      <c r="BJ105" s="62">
        <f t="shared" si="92"/>
        <v>113.5315547498717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0.72267600577145674</v>
      </c>
      <c r="BQ105" s="23">
        <f>EXP(-LN(2)/25)*BQ104+(1-EXP(-LN(2)/25))/(LN(2)/25)*Calculateur!BL105*Calculateur!BN105*VLOOKUP('Données projet'!$B$11,Paramètres!$A$1:$I$89,3,0)*0.475*44/12</f>
        <v>0.77517405377440229</v>
      </c>
      <c r="BR105" s="23">
        <f>EXP(-LN(2)/2)*BR104+(1-EXP(-LN(2)/2))/(LN(2)/2)*BL105*BO105*VLOOKUP('Données projet'!$B$11,Paramètres!$A$1:$I$89,3,0)*0.475*44/12</f>
        <v>3.367816740902E-11</v>
      </c>
      <c r="BS105" s="24">
        <f t="shared" si="63"/>
        <v>1.4978500595795372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-1.4897523215040565E-13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211.95495599943246</v>
      </c>
      <c r="CE105" s="62">
        <f t="shared" si="94"/>
        <v>270.47407508916842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0.59901399154927826</v>
      </c>
      <c r="CL105" s="23">
        <f>EXP(-LN(2)/25)*CL104+(1-EXP(-LN(2)/25))/(LN(2)/25)*Calculateur!CG105*Calculateur!CI105*VLOOKUP('Données projet'!$B$12,Paramètres!$A$1:$I$89,3,0)*0.475*44/12</f>
        <v>2.3260654149564499</v>
      </c>
      <c r="CM105" s="23">
        <f>EXP(-LN(2)/2)*CM104+(1-EXP(-LN(2)/2))/(LN(2)/2)*CG105*CJ105*VLOOKUP('Données projet'!$B$12,Paramètres!$A$1:$I$89,3,0)*0.475*44/12</f>
        <v>1.8375271281247391E-10</v>
      </c>
      <c r="CN105" s="24">
        <f t="shared" si="66"/>
        <v>2.9250794066894805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-4.5474735088646412E-13</v>
      </c>
      <c r="O106" s="14">
        <f>N106*VLOOKUP('Données projet'!$B$9,Paramètres!$A$1:$I$89,3,0)*VLOOKUP('Données projet'!$B$9,Paramètres!$A$1:$I$89,5,0)</f>
        <v>-2.5420376914553347E-13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446.5364328843699</v>
      </c>
      <c r="T106" s="62">
        <f t="shared" si="88"/>
        <v>559.96606361482179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1.2878817434578909</v>
      </c>
      <c r="AA106" s="23">
        <f>EXP(-LN(2)/25)*AA105+(1-EXP(-LN(2)/25))/(LN(2)/25)*Calculateur!V106*Calculateur!X106*VLOOKUP('Données projet'!$B$9,Paramètres!$A$1:$I$89,3,0)*0.475*44/12</f>
        <v>1.4230974257444131</v>
      </c>
      <c r="AB106" s="23">
        <f>EXP(-LN(2)/2)*AB105+(1-EXP(-LN(2)/2))/(LN(2)/2)*V106*Y106*VLOOKUP('Données projet'!$B$9,Paramètres!$A$1:$I$89,3,0)*0.475*44/12</f>
        <v>1.3471204840013077E-10</v>
      </c>
      <c r="AC106" s="24">
        <f t="shared" si="57"/>
        <v>2.710979169337016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-3.1036506698001178E-14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164.0740581424559</v>
      </c>
      <c r="AO106" s="62">
        <f t="shared" si="90"/>
        <v>280.99861170359793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3.861497758170322</v>
      </c>
      <c r="AV106" s="23">
        <f>EXP(-LN(2)/25)*AV105+(1-EXP(-LN(2)/25))/(LN(2)/25)*Calculateur!AQ106*Calculateur!AS106*VLOOKUP('Données projet'!$B$10,Paramètres!$A$1:$I$89,3,0)*0.475*44/12</f>
        <v>5.023422749780698</v>
      </c>
      <c r="AW106" s="23">
        <f>EXP(-LN(2)/2)*AW105+(1-EXP(-LN(2)/2))/(LN(2)/2)*AQ106*AT106*VLOOKUP('Données projet'!$B$10,Paramètres!$A$1:$I$89,3,0)*0.475*44/12</f>
        <v>1.6810243915145882E-10</v>
      </c>
      <c r="AX106" s="23">
        <f t="shared" si="60"/>
        <v>8.8849205081191212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8.5265128291212022E-14</v>
      </c>
      <c r="BE106" s="14">
        <f>BD106*VLOOKUP('Données projet'!$B$11,Paramètres!$A$1:$I$89,3,0)*VLOOKUP('Données projet'!$B$11,Paramètres!$A$1:$I$89,5,0)</f>
        <v>3.990408004028723E-14</v>
      </c>
      <c r="BF106" s="14">
        <f t="shared" si="91"/>
        <v>6.6713074187844705E-13</v>
      </c>
      <c r="BG106" s="22">
        <f t="shared" si="61"/>
        <v>1.2314189815084623E-12</v>
      </c>
      <c r="BH106" s="62">
        <f t="shared" si="62"/>
        <v>293.33333333333456</v>
      </c>
      <c r="BI106" s="62">
        <f ca="1">AVERAGE(OFFSET($BH$3,0,0,'Données projet'!$E$11+1,1))-AVERAGE(OFFSET($H$3,0,0,'Données projet'!$E$11+1,1))</f>
        <v>90.829393941874685</v>
      </c>
      <c r="BJ106" s="62">
        <f t="shared" si="92"/>
        <v>113.5315547498717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0.70850477008711776</v>
      </c>
      <c r="BQ106" s="23">
        <f>EXP(-LN(2)/25)*BQ105+(1-EXP(-LN(2)/25))/(LN(2)/25)*Calculateur!BL106*Calculateur!BN106*VLOOKUP('Données projet'!$B$11,Paramètres!$A$1:$I$89,3,0)*0.475*44/12</f>
        <v>0.7539768785093095</v>
      </c>
      <c r="BR106" s="23">
        <f>EXP(-LN(2)/2)*BR105+(1-EXP(-LN(2)/2))/(LN(2)/2)*BL106*BO106*VLOOKUP('Données projet'!$B$11,Paramètres!$A$1:$I$89,3,0)*0.475*44/12</f>
        <v>2.3814060552853821E-11</v>
      </c>
      <c r="BS106" s="24">
        <f t="shared" si="63"/>
        <v>1.4624816486202412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-1.4897523215040565E-13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211.95495599943246</v>
      </c>
      <c r="CE106" s="62">
        <f t="shared" si="94"/>
        <v>270.47407508916842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0.58726769253745525</v>
      </c>
      <c r="CL106" s="23">
        <f>EXP(-LN(2)/25)*CL105+(1-EXP(-LN(2)/25))/(LN(2)/25)*Calculateur!CG106*Calculateur!CI106*VLOOKUP('Données projet'!$B$12,Paramètres!$A$1:$I$89,3,0)*0.475*44/12</f>
        <v>2.2624590338620019</v>
      </c>
      <c r="CM106" s="23">
        <f>EXP(-LN(2)/2)*CM105+(1-EXP(-LN(2)/2))/(LN(2)/2)*CG106*CJ106*VLOOKUP('Données projet'!$B$12,Paramètres!$A$1:$I$89,3,0)*0.475*44/12</f>
        <v>1.299327892911245E-10</v>
      </c>
      <c r="CN106" s="24">
        <f t="shared" si="66"/>
        <v>2.84972672652939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-4.5474735088646412E-13</v>
      </c>
      <c r="O107" s="14">
        <f>N107*VLOOKUP('Données projet'!$B$9,Paramètres!$A$1:$I$89,3,0)*VLOOKUP('Données projet'!$B$9,Paramètres!$A$1:$I$89,5,0)</f>
        <v>-2.5420376914553347E-13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446.5364328843699</v>
      </c>
      <c r="T107" s="62">
        <f t="shared" si="88"/>
        <v>559.96606361482179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1.2626271679989804</v>
      </c>
      <c r="AA107" s="23">
        <f>EXP(-LN(2)/25)*AA106+(1-EXP(-LN(2)/25))/(LN(2)/25)*Calculateur!V107*Calculateur!X107*VLOOKUP('Données projet'!$B$9,Paramètres!$A$1:$I$89,3,0)*0.475*44/12</f>
        <v>1.384182751799991</v>
      </c>
      <c r="AB107" s="23">
        <f>EXP(-LN(2)/2)*AB106+(1-EXP(-LN(2)/2))/(LN(2)/2)*V107*Y107*VLOOKUP('Données projet'!$B$9,Paramètres!$A$1:$I$89,3,0)*0.475*44/12</f>
        <v>9.5255802931262871E-11</v>
      </c>
      <c r="AC107" s="24">
        <f t="shared" si="57"/>
        <v>2.6468099198942272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-3.1036506698001178E-14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164.0740581424559</v>
      </c>
      <c r="AO107" s="62">
        <f t="shared" si="90"/>
        <v>280.99861170359793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3.78577614241367</v>
      </c>
      <c r="AV107" s="23">
        <f>EXP(-LN(2)/25)*AV106+(1-EXP(-LN(2)/25))/(LN(2)/25)*Calculateur!AQ107*Calculateur!AS107*VLOOKUP('Données projet'!$B$10,Paramètres!$A$1:$I$89,3,0)*0.475*44/12</f>
        <v>4.8860569905176234</v>
      </c>
      <c r="AW107" s="23">
        <f>EXP(-LN(2)/2)*AW106+(1-EXP(-LN(2)/2))/(LN(2)/2)*AQ107*AT107*VLOOKUP('Données projet'!$B$10,Paramètres!$A$1:$I$89,3,0)*0.475*44/12</f>
        <v>1.1886637465799551E-10</v>
      </c>
      <c r="AX107" s="23">
        <f t="shared" si="60"/>
        <v>8.6718331330501606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8.5265128291212022E-14</v>
      </c>
      <c r="BE107" s="14">
        <f>BD107*VLOOKUP('Données projet'!$B$11,Paramètres!$A$1:$I$89,3,0)*VLOOKUP('Données projet'!$B$11,Paramètres!$A$1:$I$89,5,0)</f>
        <v>3.990408004028723E-14</v>
      </c>
      <c r="BF107" s="14">
        <f t="shared" si="91"/>
        <v>6.6713074187844705E-13</v>
      </c>
      <c r="BG107" s="22">
        <f t="shared" si="61"/>
        <v>1.2314189815084623E-12</v>
      </c>
      <c r="BH107" s="62">
        <f t="shared" si="62"/>
        <v>293.33333333333456</v>
      </c>
      <c r="BI107" s="62">
        <f ca="1">AVERAGE(OFFSET($BH$3,0,0,'Données projet'!$E$11+1,1))-AVERAGE(OFFSET($H$3,0,0,'Données projet'!$E$11+1,1))</f>
        <v>90.829393941874685</v>
      </c>
      <c r="BJ107" s="62">
        <f t="shared" si="92"/>
        <v>113.5315547498717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0.6946114236909483</v>
      </c>
      <c r="BQ107" s="23">
        <f>EXP(-LN(2)/25)*BQ106+(1-EXP(-LN(2)/25))/(LN(2)/25)*Calculateur!BL107*Calculateur!BN107*VLOOKUP('Données projet'!$B$11,Paramètres!$A$1:$I$89,3,0)*0.475*44/12</f>
        <v>0.73335934111655166</v>
      </c>
      <c r="BR107" s="23">
        <f>EXP(-LN(2)/2)*BR106+(1-EXP(-LN(2)/2))/(LN(2)/2)*BL107*BO107*VLOOKUP('Données projet'!$B$11,Paramètres!$A$1:$I$89,3,0)*0.475*44/12</f>
        <v>1.683908370451E-11</v>
      </c>
      <c r="BS107" s="24">
        <f t="shared" si="63"/>
        <v>1.4279707648243389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-1.4897523215040565E-13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211.95495599943246</v>
      </c>
      <c r="CE107" s="62">
        <f t="shared" si="94"/>
        <v>270.47407508916842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0.57575173128471913</v>
      </c>
      <c r="CL107" s="23">
        <f>EXP(-LN(2)/25)*CL106+(1-EXP(-LN(2)/25))/(LN(2)/25)*Calculateur!CG107*Calculateur!CI107*VLOOKUP('Données projet'!$B$12,Paramètres!$A$1:$I$89,3,0)*0.475*44/12</f>
        <v>2.2005919726034957</v>
      </c>
      <c r="CM107" s="23">
        <f>EXP(-LN(2)/2)*CM106+(1-EXP(-LN(2)/2))/(LN(2)/2)*CG107*CJ107*VLOOKUP('Données projet'!$B$12,Paramètres!$A$1:$I$89,3,0)*0.475*44/12</f>
        <v>9.1876356406236955E-11</v>
      </c>
      <c r="CN107" s="24">
        <f t="shared" si="66"/>
        <v>2.7763437039800913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-4.5474735088646412E-13</v>
      </c>
      <c r="O108" s="14">
        <f>N108*VLOOKUP('Données projet'!$B$9,Paramètres!$A$1:$I$89,3,0)*VLOOKUP('Données projet'!$B$9,Paramètres!$A$1:$I$89,5,0)</f>
        <v>-2.5420376914553347E-13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446.5364328843699</v>
      </c>
      <c r="T108" s="62">
        <f t="shared" si="88"/>
        <v>559.96606361482179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1.2378678193610493</v>
      </c>
      <c r="AA108" s="23">
        <f>EXP(-LN(2)/25)*AA107+(1-EXP(-LN(2)/25))/(LN(2)/25)*Calculateur!V108*Calculateur!X108*VLOOKUP('Données projet'!$B$9,Paramètres!$A$1:$I$89,3,0)*0.475*44/12</f>
        <v>1.3463322016610129</v>
      </c>
      <c r="AB108" s="23">
        <f>EXP(-LN(2)/2)*AB107+(1-EXP(-LN(2)/2))/(LN(2)/2)*V108*Y108*VLOOKUP('Données projet'!$B$9,Paramètres!$A$1:$I$89,3,0)*0.475*44/12</f>
        <v>6.7356024200065386E-11</v>
      </c>
      <c r="AC108" s="24">
        <f t="shared" si="57"/>
        <v>2.5842000210894183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-3.1036506698001178E-14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164.0740581424559</v>
      </c>
      <c r="AO108" s="62">
        <f t="shared" si="90"/>
        <v>280.99861170359793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3.7115393813563804</v>
      </c>
      <c r="AV108" s="23">
        <f>EXP(-LN(2)/25)*AV107+(1-EXP(-LN(2)/25))/(LN(2)/25)*Calculateur!AQ108*Calculateur!AS108*VLOOKUP('Données projet'!$B$10,Paramètres!$A$1:$I$89,3,0)*0.475*44/12</f>
        <v>4.7524475051653488</v>
      </c>
      <c r="AW108" s="23">
        <f>EXP(-LN(2)/2)*AW107+(1-EXP(-LN(2)/2))/(LN(2)/2)*AQ108*AT108*VLOOKUP('Données projet'!$B$10,Paramètres!$A$1:$I$89,3,0)*0.475*44/12</f>
        <v>8.4051219575729412E-11</v>
      </c>
      <c r="AX108" s="23">
        <f t="shared" si="60"/>
        <v>8.463986886605781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8.5265128291212022E-14</v>
      </c>
      <c r="BE108" s="14">
        <f>BD108*VLOOKUP('Données projet'!$B$11,Paramètres!$A$1:$I$89,3,0)*VLOOKUP('Données projet'!$B$11,Paramètres!$A$1:$I$89,5,0)</f>
        <v>3.990408004028723E-14</v>
      </c>
      <c r="BF108" s="14">
        <f t="shared" si="91"/>
        <v>6.6713074187844705E-13</v>
      </c>
      <c r="BG108" s="22">
        <f t="shared" si="61"/>
        <v>1.2314189815084623E-12</v>
      </c>
      <c r="BH108" s="62">
        <f t="shared" si="62"/>
        <v>293.33333333333456</v>
      </c>
      <c r="BI108" s="62">
        <f ca="1">AVERAGE(OFFSET($BH$3,0,0,'Données projet'!$E$11+1,1))-AVERAGE(OFFSET($H$3,0,0,'Données projet'!$E$11+1,1))</f>
        <v>90.829393941874685</v>
      </c>
      <c r="BJ108" s="62">
        <f t="shared" si="92"/>
        <v>113.5315547498717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0.68099051734350324</v>
      </c>
      <c r="BQ108" s="23">
        <f>EXP(-LN(2)/25)*BQ107+(1-EXP(-LN(2)/25))/(LN(2)/25)*Calculateur!BL108*Calculateur!BN108*VLOOKUP('Données projet'!$B$11,Paramètres!$A$1:$I$89,3,0)*0.475*44/12</f>
        <v>0.71330559136802796</v>
      </c>
      <c r="BR108" s="23">
        <f>EXP(-LN(2)/2)*BR107+(1-EXP(-LN(2)/2))/(LN(2)/2)*BL108*BO108*VLOOKUP('Données projet'!$B$11,Paramètres!$A$1:$I$89,3,0)*0.475*44/12</f>
        <v>1.1907030276426911E-11</v>
      </c>
      <c r="BS108" s="24">
        <f t="shared" si="63"/>
        <v>1.394296108723438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-1.4897523215040565E-13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211.95495599943246</v>
      </c>
      <c r="CE108" s="62">
        <f t="shared" si="94"/>
        <v>270.47407508916842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0.56446159100810633</v>
      </c>
      <c r="CL108" s="23">
        <f>EXP(-LN(2)/25)*CL107+(1-EXP(-LN(2)/25))/(LN(2)/25)*Calculateur!CG108*Calculateur!CI108*VLOOKUP('Données projet'!$B$12,Paramètres!$A$1:$I$89,3,0)*0.475*44/12</f>
        <v>2.1404166693885509</v>
      </c>
      <c r="CM108" s="23">
        <f>EXP(-LN(2)/2)*CM107+(1-EXP(-LN(2)/2))/(LN(2)/2)*CG108*CJ108*VLOOKUP('Données projet'!$B$12,Paramètres!$A$1:$I$89,3,0)*0.475*44/12</f>
        <v>6.4966394645562248E-11</v>
      </c>
      <c r="CN108" s="24">
        <f t="shared" si="66"/>
        <v>2.7048782604616233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-4.5474735088646412E-13</v>
      </c>
      <c r="O109" s="14">
        <f>N109*VLOOKUP('Données projet'!$B$9,Paramètres!$A$1:$I$89,3,0)*VLOOKUP('Données projet'!$B$9,Paramètres!$A$1:$I$89,5,0)</f>
        <v>-2.5420376914553347E-13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446.5364328843699</v>
      </c>
      <c r="T109" s="62">
        <f t="shared" si="88"/>
        <v>559.96606361482179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1.2135939864481964</v>
      </c>
      <c r="AA109" s="23">
        <f>EXP(-LN(2)/25)*AA108+(1-EXP(-LN(2)/25))/(LN(2)/25)*Calculateur!V109*Calculateur!X109*VLOOKUP('Données projet'!$B$9,Paramètres!$A$1:$I$89,3,0)*0.475*44/12</f>
        <v>1.3095166768060591</v>
      </c>
      <c r="AB109" s="23">
        <f>EXP(-LN(2)/2)*AB108+(1-EXP(-LN(2)/2))/(LN(2)/2)*V109*Y109*VLOOKUP('Données projet'!$B$9,Paramètres!$A$1:$I$89,3,0)*0.475*44/12</f>
        <v>4.7627901465631435E-11</v>
      </c>
      <c r="AC109" s="24">
        <f t="shared" si="57"/>
        <v>2.5231106633018832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-3.1036506698001178E-14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164.0740581424559</v>
      </c>
      <c r="AO109" s="62">
        <f t="shared" si="90"/>
        <v>280.99861170359793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3.638758357903471</v>
      </c>
      <c r="AV109" s="23">
        <f>EXP(-LN(2)/25)*AV108+(1-EXP(-LN(2)/25))/(LN(2)/25)*Calculateur!AQ109*Calculateur!AS109*VLOOKUP('Données projet'!$B$10,Paramètres!$A$1:$I$89,3,0)*0.475*44/12</f>
        <v>4.6224915782162501</v>
      </c>
      <c r="AW109" s="23">
        <f>EXP(-LN(2)/2)*AW108+(1-EXP(-LN(2)/2))/(LN(2)/2)*AQ109*AT109*VLOOKUP('Données projet'!$B$10,Paramètres!$A$1:$I$89,3,0)*0.475*44/12</f>
        <v>5.9433187328997757E-11</v>
      </c>
      <c r="AX109" s="23">
        <f t="shared" si="60"/>
        <v>8.2612499361791549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8.5265128291212022E-14</v>
      </c>
      <c r="BE109" s="14">
        <f>BD109*VLOOKUP('Données projet'!$B$11,Paramètres!$A$1:$I$89,3,0)*VLOOKUP('Données projet'!$B$11,Paramètres!$A$1:$I$89,5,0)</f>
        <v>3.990408004028723E-14</v>
      </c>
      <c r="BF109" s="14">
        <f t="shared" si="91"/>
        <v>6.6713074187844705E-13</v>
      </c>
      <c r="BG109" s="22">
        <f t="shared" si="61"/>
        <v>1.2314189815084623E-12</v>
      </c>
      <c r="BH109" s="62">
        <f t="shared" si="62"/>
        <v>293.33333333333456</v>
      </c>
      <c r="BI109" s="62">
        <f ca="1">AVERAGE(OFFSET($BH$3,0,0,'Données projet'!$E$11+1,1))-AVERAGE(OFFSET($H$3,0,0,'Données projet'!$E$11+1,1))</f>
        <v>90.829393941874685</v>
      </c>
      <c r="BJ109" s="62">
        <f t="shared" si="92"/>
        <v>113.5315547498717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0.66763670866159897</v>
      </c>
      <c r="BQ109" s="23">
        <f>EXP(-LN(2)/25)*BQ108+(1-EXP(-LN(2)/25))/(LN(2)/25)*Calculateur!BL109*Calculateur!BN109*VLOOKUP('Données projet'!$B$11,Paramètres!$A$1:$I$89,3,0)*0.475*44/12</f>
        <v>0.69380021246095847</v>
      </c>
      <c r="BR109" s="23">
        <f>EXP(-LN(2)/2)*BR108+(1-EXP(-LN(2)/2))/(LN(2)/2)*BL109*BO109*VLOOKUP('Données projet'!$B$11,Paramètres!$A$1:$I$89,3,0)*0.475*44/12</f>
        <v>8.4195418522549999E-12</v>
      </c>
      <c r="BS109" s="24">
        <f t="shared" si="63"/>
        <v>1.3614369211309769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-1.4897523215040565E-13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211.95495599943246</v>
      </c>
      <c r="CE109" s="62">
        <f t="shared" si="94"/>
        <v>270.47407508916842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0.55339284349601225</v>
      </c>
      <c r="CL109" s="23">
        <f>EXP(-LN(2)/25)*CL108+(1-EXP(-LN(2)/25))/(LN(2)/25)*Calculateur!CG109*Calculateur!CI109*VLOOKUP('Données projet'!$B$12,Paramètres!$A$1:$I$89,3,0)*0.475*44/12</f>
        <v>2.0818868630045002</v>
      </c>
      <c r="CM109" s="23">
        <f>EXP(-LN(2)/2)*CM108+(1-EXP(-LN(2)/2))/(LN(2)/2)*CG109*CJ109*VLOOKUP('Données projet'!$B$12,Paramètres!$A$1:$I$89,3,0)*0.475*44/12</f>
        <v>4.5938178203118478E-11</v>
      </c>
      <c r="CN109" s="24">
        <f t="shared" si="66"/>
        <v>2.6352797065464508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-4.5474735088646412E-13</v>
      </c>
      <c r="O110" s="14">
        <f>N110*VLOOKUP('Données projet'!$B$9,Paramètres!$A$1:$I$89,3,0)*VLOOKUP('Données projet'!$B$9,Paramètres!$A$1:$I$89,5,0)</f>
        <v>-2.5420376914553347E-13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446.5364328843699</v>
      </c>
      <c r="T110" s="62">
        <f t="shared" si="88"/>
        <v>559.96606361482179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1.1897961485931885</v>
      </c>
      <c r="AA110" s="23">
        <f>EXP(-LN(2)/25)*AA109+(1-EXP(-LN(2)/25))/(LN(2)/25)*Calculateur!V110*Calculateur!X110*VLOOKUP('Données projet'!$B$9,Paramètres!$A$1:$I$89,3,0)*0.475*44/12</f>
        <v>1.2737078744143082</v>
      </c>
      <c r="AB110" s="23">
        <f>EXP(-LN(2)/2)*AB109+(1-EXP(-LN(2)/2))/(LN(2)/2)*V110*Y110*VLOOKUP('Données projet'!$B$9,Paramètres!$A$1:$I$89,3,0)*0.475*44/12</f>
        <v>3.3678012100032693E-11</v>
      </c>
      <c r="AC110" s="24">
        <f t="shared" si="57"/>
        <v>2.4635040230411747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-3.1036506698001178E-14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164.0740581424559</v>
      </c>
      <c r="AO110" s="62">
        <f t="shared" si="90"/>
        <v>280.99861170359793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3.5674045259284326</v>
      </c>
      <c r="AV110" s="23">
        <f>EXP(-LN(2)/25)*AV109+(1-EXP(-LN(2)/25))/(LN(2)/25)*Calculateur!AQ110*Calculateur!AS110*VLOOKUP('Données projet'!$B$10,Paramètres!$A$1:$I$89,3,0)*0.475*44/12</f>
        <v>4.4960893029236599</v>
      </c>
      <c r="AW110" s="23">
        <f>EXP(-LN(2)/2)*AW109+(1-EXP(-LN(2)/2))/(LN(2)/2)*AQ110*AT110*VLOOKUP('Données projet'!$B$10,Paramètres!$A$1:$I$89,3,0)*0.475*44/12</f>
        <v>4.2025609787864706E-11</v>
      </c>
      <c r="AX110" s="23">
        <f t="shared" si="60"/>
        <v>8.0634938288941171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8.5265128291212022E-14</v>
      </c>
      <c r="BE110" s="14">
        <f>BD110*VLOOKUP('Données projet'!$B$11,Paramètres!$A$1:$I$89,3,0)*VLOOKUP('Données projet'!$B$11,Paramètres!$A$1:$I$89,5,0)</f>
        <v>3.990408004028723E-14</v>
      </c>
      <c r="BF110" s="14">
        <f t="shared" si="91"/>
        <v>6.6713074187844705E-13</v>
      </c>
      <c r="BG110" s="22">
        <f t="shared" si="61"/>
        <v>1.2314189815084623E-12</v>
      </c>
      <c r="BH110" s="62">
        <f t="shared" si="62"/>
        <v>293.33333333333456</v>
      </c>
      <c r="BI110" s="62">
        <f ca="1">AVERAGE(OFFSET($BH$3,0,0,'Données projet'!$E$11+1,1))-AVERAGE(OFFSET($H$3,0,0,'Données projet'!$E$11+1,1))</f>
        <v>90.829393941874685</v>
      </c>
      <c r="BJ110" s="62">
        <f t="shared" si="92"/>
        <v>113.5315547498717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0.65454476002292783</v>
      </c>
      <c r="BQ110" s="23">
        <f>EXP(-LN(2)/25)*BQ109+(1-EXP(-LN(2)/25))/(LN(2)/25)*Calculateur!BL110*Calculateur!BN110*VLOOKUP('Données projet'!$B$11,Paramètres!$A$1:$I$89,3,0)*0.475*44/12</f>
        <v>0.67482820916584607</v>
      </c>
      <c r="BR110" s="23">
        <f>EXP(-LN(2)/2)*BR109+(1-EXP(-LN(2)/2))/(LN(2)/2)*BL110*BO110*VLOOKUP('Données projet'!$B$11,Paramètres!$A$1:$I$89,3,0)*0.475*44/12</f>
        <v>5.9535151382134553E-12</v>
      </c>
      <c r="BS110" s="24">
        <f t="shared" si="63"/>
        <v>1.3293729691947274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-1.4897523215040565E-13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211.95495599943246</v>
      </c>
      <c r="CE110" s="62">
        <f t="shared" si="94"/>
        <v>270.47407508916842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0.54254114737136105</v>
      </c>
      <c r="CL110" s="23">
        <f>EXP(-LN(2)/25)*CL109+(1-EXP(-LN(2)/25))/(LN(2)/25)*Calculateur!CG110*Calculateur!CI110*VLOOKUP('Données projet'!$B$12,Paramètres!$A$1:$I$89,3,0)*0.475*44/12</f>
        <v>2.0249575572539702</v>
      </c>
      <c r="CM110" s="23">
        <f>EXP(-LN(2)/2)*CM109+(1-EXP(-LN(2)/2))/(LN(2)/2)*CG110*CJ110*VLOOKUP('Données projet'!$B$12,Paramètres!$A$1:$I$89,3,0)*0.475*44/12</f>
        <v>3.2483197322781124E-11</v>
      </c>
      <c r="CN110" s="24">
        <f t="shared" si="66"/>
        <v>2.5674987046578144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-4.5474735088646412E-13</v>
      </c>
      <c r="O111" s="14">
        <f>N111*VLOOKUP('Données projet'!$B$9,Paramètres!$A$1:$I$89,3,0)*VLOOKUP('Données projet'!$B$9,Paramètres!$A$1:$I$89,5,0)</f>
        <v>-2.5420376914553347E-13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446.5364328843699</v>
      </c>
      <c r="T111" s="62">
        <f t="shared" si="88"/>
        <v>559.96606361482179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1.1664649718232694</v>
      </c>
      <c r="AA111" s="23">
        <f>EXP(-LN(2)/25)*AA110+(1-EXP(-LN(2)/25))/(LN(2)/25)*Calculateur!V111*Calculateur!X111*VLOOKUP('Données projet'!$B$9,Paramètres!$A$1:$I$89,3,0)*0.475*44/12</f>
        <v>1.2388782656070629</v>
      </c>
      <c r="AB111" s="23">
        <f>EXP(-LN(2)/2)*AB110+(1-EXP(-LN(2)/2))/(LN(2)/2)*V111*Y111*VLOOKUP('Données projet'!$B$9,Paramètres!$A$1:$I$89,3,0)*0.475*44/12</f>
        <v>2.3813950732815718E-11</v>
      </c>
      <c r="AC111" s="24">
        <f t="shared" si="57"/>
        <v>2.4053432374541464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-3.1036506698001178E-14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164.0740581424559</v>
      </c>
      <c r="AO111" s="62">
        <f t="shared" si="90"/>
        <v>280.99861170359793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3.4974498990768845</v>
      </c>
      <c r="AV111" s="23">
        <f>EXP(-LN(2)/25)*AV110+(1-EXP(-LN(2)/25))/(LN(2)/25)*Calculateur!AQ111*Calculateur!AS111*VLOOKUP('Données projet'!$B$10,Paramètres!$A$1:$I$89,3,0)*0.475*44/12</f>
        <v>4.3731435044961522</v>
      </c>
      <c r="AW111" s="23">
        <f>EXP(-LN(2)/2)*AW110+(1-EXP(-LN(2)/2))/(LN(2)/2)*AQ111*AT111*VLOOKUP('Données projet'!$B$10,Paramètres!$A$1:$I$89,3,0)*0.475*44/12</f>
        <v>2.9716593664498878E-11</v>
      </c>
      <c r="AX111" s="23">
        <f t="shared" si="60"/>
        <v>7.8705934036027534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8.5265128291212022E-14</v>
      </c>
      <c r="BE111" s="14">
        <f>BD111*VLOOKUP('Données projet'!$B$11,Paramètres!$A$1:$I$89,3,0)*VLOOKUP('Données projet'!$B$11,Paramètres!$A$1:$I$89,5,0)</f>
        <v>3.990408004028723E-14</v>
      </c>
      <c r="BF111" s="14">
        <f t="shared" si="91"/>
        <v>6.6713074187844705E-13</v>
      </c>
      <c r="BG111" s="22">
        <f t="shared" si="61"/>
        <v>1.2314189815084623E-12</v>
      </c>
      <c r="BH111" s="62">
        <f t="shared" si="62"/>
        <v>293.33333333333456</v>
      </c>
      <c r="BI111" s="62">
        <f ca="1">AVERAGE(OFFSET($BH$3,0,0,'Données projet'!$E$11+1,1))-AVERAGE(OFFSET($H$3,0,0,'Données projet'!$E$11+1,1))</f>
        <v>90.829393941874685</v>
      </c>
      <c r="BJ111" s="62">
        <f t="shared" si="92"/>
        <v>113.5315547498717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0.64170953651176088</v>
      </c>
      <c r="BQ111" s="23">
        <f>EXP(-LN(2)/25)*BQ110+(1-EXP(-LN(2)/25))/(LN(2)/25)*Calculateur!BL111*Calculateur!BN111*VLOOKUP('Données projet'!$B$11,Paramètres!$A$1:$I$89,3,0)*0.475*44/12</f>
        <v>0.6563749962985328</v>
      </c>
      <c r="BR111" s="23">
        <f>EXP(-LN(2)/2)*BR110+(1-EXP(-LN(2)/2))/(LN(2)/2)*BL111*BO111*VLOOKUP('Données projet'!$B$11,Paramètres!$A$1:$I$89,3,0)*0.475*44/12</f>
        <v>4.2097709261275E-12</v>
      </c>
      <c r="BS111" s="24">
        <f t="shared" si="63"/>
        <v>1.2980845328145034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-1.4897523215040565E-13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211.95495599943246</v>
      </c>
      <c r="CE111" s="62">
        <f t="shared" si="94"/>
        <v>270.47407508916842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0.53190224638883321</v>
      </c>
      <c r="CL111" s="23">
        <f>EXP(-LN(2)/25)*CL110+(1-EXP(-LN(2)/25))/(LN(2)/25)*Calculateur!CG111*Calculateur!CI111*VLOOKUP('Données projet'!$B$12,Paramètres!$A$1:$I$89,3,0)*0.475*44/12</f>
        <v>1.9695849863629706</v>
      </c>
      <c r="CM111" s="23">
        <f>EXP(-LN(2)/2)*CM110+(1-EXP(-LN(2)/2))/(LN(2)/2)*CG111*CJ111*VLOOKUP('Données projet'!$B$12,Paramètres!$A$1:$I$89,3,0)*0.475*44/12</f>
        <v>2.2969089101559239E-11</v>
      </c>
      <c r="CN111" s="24">
        <f t="shared" si="66"/>
        <v>2.5014872327747728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-4.5474735088646412E-13</v>
      </c>
      <c r="O112" s="14">
        <f>N112*VLOOKUP('Données projet'!$B$9,Paramètres!$A$1:$I$89,3,0)*VLOOKUP('Données projet'!$B$9,Paramètres!$A$1:$I$89,5,0)</f>
        <v>-2.5420376914553347E-13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446.5364328843699</v>
      </c>
      <c r="T112" s="62">
        <f t="shared" si="88"/>
        <v>559.96606361482179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1.1435913051991957</v>
      </c>
      <c r="AA112" s="23">
        <f>EXP(-LN(2)/25)*AA111+(1-EXP(-LN(2)/25))/(LN(2)/25)*Calculateur!V112*Calculateur!X112*VLOOKUP('Données projet'!$B$9,Paramètres!$A$1:$I$89,3,0)*0.475*44/12</f>
        <v>1.2050010742842614</v>
      </c>
      <c r="AB112" s="23">
        <f>EXP(-LN(2)/2)*AB111+(1-EXP(-LN(2)/2))/(LN(2)/2)*V112*Y112*VLOOKUP('Données projet'!$B$9,Paramètres!$A$1:$I$89,3,0)*0.475*44/12</f>
        <v>1.6839006050016346E-11</v>
      </c>
      <c r="AC112" s="24">
        <f t="shared" si="57"/>
        <v>2.3485923795002961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-3.1036506698001178E-14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164.0740581424559</v>
      </c>
      <c r="AO112" s="62">
        <f t="shared" si="90"/>
        <v>280.99861170359793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3.428867039789786</v>
      </c>
      <c r="AV112" s="23">
        <f>EXP(-LN(2)/25)*AV111+(1-EXP(-LN(2)/25))/(LN(2)/25)*Calculateur!AQ112*Calculateur!AS112*VLOOKUP('Données projet'!$B$10,Paramètres!$A$1:$I$89,3,0)*0.475*44/12</f>
        <v>4.2535596653920829</v>
      </c>
      <c r="AW112" s="23">
        <f>EXP(-LN(2)/2)*AW111+(1-EXP(-LN(2)/2))/(LN(2)/2)*AQ112*AT112*VLOOKUP('Données projet'!$B$10,Paramètres!$A$1:$I$89,3,0)*0.475*44/12</f>
        <v>2.1012804893932353E-11</v>
      </c>
      <c r="AX112" s="23">
        <f t="shared" si="60"/>
        <v>7.6824267052028814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8.5265128291212022E-14</v>
      </c>
      <c r="BE112" s="14">
        <f>BD112*VLOOKUP('Données projet'!$B$11,Paramètres!$A$1:$I$89,3,0)*VLOOKUP('Données projet'!$B$11,Paramètres!$A$1:$I$89,5,0)</f>
        <v>3.990408004028723E-14</v>
      </c>
      <c r="BF112" s="14">
        <f t="shared" si="91"/>
        <v>6.6713074187844705E-13</v>
      </c>
      <c r="BG112" s="22">
        <f t="shared" si="61"/>
        <v>1.2314189815084623E-12</v>
      </c>
      <c r="BH112" s="62">
        <f t="shared" si="62"/>
        <v>293.33333333333456</v>
      </c>
      <c r="BI112" s="62">
        <f ca="1">AVERAGE(OFFSET($BH$3,0,0,'Données projet'!$E$11+1,1))-AVERAGE(OFFSET($H$3,0,0,'Données projet'!$E$11+1,1))</f>
        <v>90.829393941874685</v>
      </c>
      <c r="BJ112" s="62">
        <f t="shared" si="92"/>
        <v>113.5315547498717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0.62912600390493456</v>
      </c>
      <c r="BQ112" s="23">
        <f>EXP(-LN(2)/25)*BQ111+(1-EXP(-LN(2)/25))/(LN(2)/25)*Calculateur!BL112*Calculateur!BN112*VLOOKUP('Données projet'!$B$11,Paramètres!$A$1:$I$89,3,0)*0.475*44/12</f>
        <v>0.63842638750748848</v>
      </c>
      <c r="BR112" s="23">
        <f>EXP(-LN(2)/2)*BR111+(1-EXP(-LN(2)/2))/(LN(2)/2)*BL112*BO112*VLOOKUP('Données projet'!$B$11,Paramètres!$A$1:$I$89,3,0)*0.475*44/12</f>
        <v>2.9767575691067276E-12</v>
      </c>
      <c r="BS112" s="24">
        <f t="shared" si="63"/>
        <v>1.2675523914153999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-1.4897523215040565E-13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211.95495599943246</v>
      </c>
      <c r="CE112" s="62">
        <f t="shared" si="94"/>
        <v>270.47407508916842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0.52147196776548388</v>
      </c>
      <c r="CL112" s="23">
        <f>EXP(-LN(2)/25)*CL111+(1-EXP(-LN(2)/25))/(LN(2)/25)*Calculateur!CG112*Calculateur!CI112*VLOOKUP('Données projet'!$B$12,Paramètres!$A$1:$I$89,3,0)*0.475*44/12</f>
        <v>1.9157265813349023</v>
      </c>
      <c r="CM112" s="23">
        <f>EXP(-LN(2)/2)*CM111+(1-EXP(-LN(2)/2))/(LN(2)/2)*CG112*CJ112*VLOOKUP('Données projet'!$B$12,Paramètres!$A$1:$I$89,3,0)*0.475*44/12</f>
        <v>1.6241598661390562E-11</v>
      </c>
      <c r="CN112" s="24">
        <f t="shared" si="66"/>
        <v>2.4371985491166277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-4.5474735088646412E-13</v>
      </c>
      <c r="O113" s="14">
        <f>N113*VLOOKUP('Données projet'!$B$9,Paramètres!$A$1:$I$89,3,0)*VLOOKUP('Données projet'!$B$9,Paramètres!$A$1:$I$89,5,0)</f>
        <v>-2.5420376914553347E-13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446.5364328843699</v>
      </c>
      <c r="T113" s="62">
        <f t="shared" si="88"/>
        <v>559.96606361482179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1.121166177226061</v>
      </c>
      <c r="AA113" s="23">
        <f>EXP(-LN(2)/25)*AA112+(1-EXP(-LN(2)/25))/(LN(2)/25)*Calculateur!V113*Calculateur!X113*VLOOKUP('Données projet'!$B$9,Paramètres!$A$1:$I$89,3,0)*0.475*44/12</f>
        <v>1.1720502565397057</v>
      </c>
      <c r="AB113" s="23">
        <f>EXP(-LN(2)/2)*AB112+(1-EXP(-LN(2)/2))/(LN(2)/2)*V113*Y113*VLOOKUP('Données projet'!$B$9,Paramètres!$A$1:$I$89,3,0)*0.475*44/12</f>
        <v>1.1906975366407859E-11</v>
      </c>
      <c r="AC113" s="24">
        <f t="shared" si="57"/>
        <v>2.2932164337776735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-3.1036506698001178E-14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164.0740581424559</v>
      </c>
      <c r="AO113" s="62">
        <f t="shared" si="90"/>
        <v>280.99861170359793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3.3616290485418938</v>
      </c>
      <c r="AV113" s="23">
        <f>EXP(-LN(2)/25)*AV112+(1-EXP(-LN(2)/25))/(LN(2)/25)*Calculateur!AQ113*Calculateur!AS113*VLOOKUP('Données projet'!$B$10,Paramètres!$A$1:$I$89,3,0)*0.475*44/12</f>
        <v>4.1372458526569549</v>
      </c>
      <c r="AW113" s="23">
        <f>EXP(-LN(2)/2)*AW112+(1-EXP(-LN(2)/2))/(LN(2)/2)*AQ113*AT113*VLOOKUP('Données projet'!$B$10,Paramètres!$A$1:$I$89,3,0)*0.475*44/12</f>
        <v>1.4858296832249439E-11</v>
      </c>
      <c r="AX113" s="23">
        <f t="shared" si="60"/>
        <v>7.498874901213707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8.5265128291212022E-14</v>
      </c>
      <c r="BE113" s="14">
        <f>BD113*VLOOKUP('Données projet'!$B$11,Paramètres!$A$1:$I$89,3,0)*VLOOKUP('Données projet'!$B$11,Paramètres!$A$1:$I$89,5,0)</f>
        <v>3.990408004028723E-14</v>
      </c>
      <c r="BF113" s="14">
        <f t="shared" si="91"/>
        <v>6.6713074187844705E-13</v>
      </c>
      <c r="BG113" s="22">
        <f t="shared" si="61"/>
        <v>1.2314189815084623E-12</v>
      </c>
      <c r="BH113" s="62">
        <f t="shared" si="62"/>
        <v>293.33333333333456</v>
      </c>
      <c r="BI113" s="62">
        <f ca="1">AVERAGE(OFFSET($BH$3,0,0,'Données projet'!$E$11+1,1))-AVERAGE(OFFSET($H$3,0,0,'Données projet'!$E$11+1,1))</f>
        <v>90.829393941874685</v>
      </c>
      <c r="BJ113" s="62">
        <f t="shared" si="92"/>
        <v>113.5315547498717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0.61678922669733105</v>
      </c>
      <c r="BQ113" s="23">
        <f>EXP(-LN(2)/25)*BQ112+(1-EXP(-LN(2)/25))/(LN(2)/25)*Calculateur!BL113*Calculateur!BN113*VLOOKUP('Données projet'!$B$11,Paramètres!$A$1:$I$89,3,0)*0.475*44/12</f>
        <v>0.62096858436771163</v>
      </c>
      <c r="BR113" s="23">
        <f>EXP(-LN(2)/2)*BR112+(1-EXP(-LN(2)/2))/(LN(2)/2)*BL113*BO113*VLOOKUP('Données projet'!$B$11,Paramètres!$A$1:$I$89,3,0)*0.475*44/12</f>
        <v>2.10488546306375E-12</v>
      </c>
      <c r="BS113" s="24">
        <f t="shared" si="63"/>
        <v>1.2377578110671477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-1.4897523215040565E-13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211.95495599943246</v>
      </c>
      <c r="CE113" s="62">
        <f t="shared" si="94"/>
        <v>270.47407508916842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0.51124622054409663</v>
      </c>
      <c r="CL113" s="23">
        <f>EXP(-LN(2)/25)*CL112+(1-EXP(-LN(2)/25))/(LN(2)/25)*Calculateur!CG113*Calculateur!CI113*VLOOKUP('Données projet'!$B$12,Paramètres!$A$1:$I$89,3,0)*0.475*44/12</f>
        <v>1.8633409372246168</v>
      </c>
      <c r="CM113" s="23">
        <f>EXP(-LN(2)/2)*CM112+(1-EXP(-LN(2)/2))/(LN(2)/2)*CG113*CJ113*VLOOKUP('Données projet'!$B$12,Paramètres!$A$1:$I$89,3,0)*0.475*44/12</f>
        <v>1.1484544550779619E-11</v>
      </c>
      <c r="CN113" s="24">
        <f t="shared" si="66"/>
        <v>2.3745871577801982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-4.5474735088646412E-13</v>
      </c>
      <c r="O114" s="14">
        <f>N114*VLOOKUP('Données projet'!$B$9,Paramètres!$A$1:$I$89,3,0)*VLOOKUP('Données projet'!$B$9,Paramètres!$A$1:$I$89,5,0)</f>
        <v>-2.5420376914553347E-13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446.5364328843699</v>
      </c>
      <c r="T114" s="62">
        <f t="shared" si="88"/>
        <v>559.96606361482179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1.0991807923345021</v>
      </c>
      <c r="AA114" s="23">
        <f>EXP(-LN(2)/25)*AA113+(1-EXP(-LN(2)/25))/(LN(2)/25)*Calculateur!V114*Calculateur!X114*VLOOKUP('Données projet'!$B$9,Paramètres!$A$1:$I$89,3,0)*0.475*44/12</f>
        <v>1.1400004806391832</v>
      </c>
      <c r="AB114" s="23">
        <f>EXP(-LN(2)/2)*AB113+(1-EXP(-LN(2)/2))/(LN(2)/2)*V114*Y114*VLOOKUP('Données projet'!$B$9,Paramètres!$A$1:$I$89,3,0)*0.475*44/12</f>
        <v>8.4195030250081732E-12</v>
      </c>
      <c r="AC114" s="24">
        <f t="shared" si="57"/>
        <v>2.2391812729821048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-3.1036506698001178E-14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164.0740581424559</v>
      </c>
      <c r="AO114" s="62">
        <f t="shared" si="90"/>
        <v>280.99861170359793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3.2957095532912475</v>
      </c>
      <c r="AV114" s="23">
        <f>EXP(-LN(2)/25)*AV113+(1-EXP(-LN(2)/25))/(LN(2)/25)*Calculateur!AQ114*Calculateur!AS114*VLOOKUP('Données projet'!$B$10,Paramètres!$A$1:$I$89,3,0)*0.475*44/12</f>
        <v>4.0241126472477466</v>
      </c>
      <c r="AW114" s="23">
        <f>EXP(-LN(2)/2)*AW113+(1-EXP(-LN(2)/2))/(LN(2)/2)*AQ114*AT114*VLOOKUP('Données projet'!$B$10,Paramètres!$A$1:$I$89,3,0)*0.475*44/12</f>
        <v>1.0506402446966177E-11</v>
      </c>
      <c r="AX114" s="23">
        <f t="shared" si="60"/>
        <v>7.3198222005494999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8.5265128291212022E-14</v>
      </c>
      <c r="BE114" s="14">
        <f>BD114*VLOOKUP('Données projet'!$B$11,Paramètres!$A$1:$I$89,3,0)*VLOOKUP('Données projet'!$B$11,Paramètres!$A$1:$I$89,5,0)</f>
        <v>3.990408004028723E-14</v>
      </c>
      <c r="BF114" s="14">
        <f t="shared" si="91"/>
        <v>6.6713074187844705E-13</v>
      </c>
      <c r="BG114" s="22">
        <f t="shared" si="61"/>
        <v>1.2314189815084623E-12</v>
      </c>
      <c r="BH114" s="62">
        <f t="shared" si="62"/>
        <v>293.33333333333456</v>
      </c>
      <c r="BI114" s="62">
        <f ca="1">AVERAGE(OFFSET($BH$3,0,0,'Données projet'!$E$11+1,1))-AVERAGE(OFFSET($H$3,0,0,'Données projet'!$E$11+1,1))</f>
        <v>90.829393941874685</v>
      </c>
      <c r="BJ114" s="62">
        <f t="shared" si="92"/>
        <v>113.5315547498717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0.60469436616607763</v>
      </c>
      <c r="BQ114" s="23">
        <f>EXP(-LN(2)/25)*BQ113+(1-EXP(-LN(2)/25))/(LN(2)/25)*Calculateur!BL114*Calculateur!BN114*VLOOKUP('Données projet'!$B$11,Paramètres!$A$1:$I$89,3,0)*0.475*44/12</f>
        <v>0.60398816577285797</v>
      </c>
      <c r="BR114" s="23">
        <f>EXP(-LN(2)/2)*BR113+(1-EXP(-LN(2)/2))/(LN(2)/2)*BL114*BO114*VLOOKUP('Données projet'!$B$11,Paramètres!$A$1:$I$89,3,0)*0.475*44/12</f>
        <v>1.4883787845533638E-12</v>
      </c>
      <c r="BS114" s="24">
        <f t="shared" si="63"/>
        <v>1.208682531940424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-1.4897523215040565E-13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211.95495599943246</v>
      </c>
      <c r="CE114" s="62">
        <f t="shared" si="94"/>
        <v>270.47407508916842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0.50122099398863085</v>
      </c>
      <c r="CL114" s="23">
        <f>EXP(-LN(2)/25)*CL113+(1-EXP(-LN(2)/25))/(LN(2)/25)*Calculateur!CG114*Calculateur!CI114*VLOOKUP('Données projet'!$B$12,Paramètres!$A$1:$I$89,3,0)*0.475*44/12</f>
        <v>1.8123877813073686</v>
      </c>
      <c r="CM114" s="23">
        <f>EXP(-LN(2)/2)*CM113+(1-EXP(-LN(2)/2))/(LN(2)/2)*CG114*CJ114*VLOOKUP('Données projet'!$B$12,Paramètres!$A$1:$I$89,3,0)*0.475*44/12</f>
        <v>8.120799330695281E-12</v>
      </c>
      <c r="CN114" s="24">
        <f t="shared" si="66"/>
        <v>2.3136087753041199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-4.5474735088646412E-13</v>
      </c>
      <c r="O115" s="14">
        <f>N115*VLOOKUP('Données projet'!$B$9,Paramètres!$A$1:$I$89,3,0)*VLOOKUP('Données projet'!$B$9,Paramètres!$A$1:$I$89,5,0)</f>
        <v>-2.5420376914553347E-13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446.5364328843699</v>
      </c>
      <c r="T115" s="62">
        <f t="shared" si="88"/>
        <v>559.96606361482179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1.077626527430906</v>
      </c>
      <c r="AA115" s="23">
        <f>EXP(-LN(2)/25)*AA114+(1-EXP(-LN(2)/25))/(LN(2)/25)*Calculateur!V115*Calculateur!X115*VLOOKUP('Données projet'!$B$9,Paramètres!$A$1:$I$89,3,0)*0.475*44/12</f>
        <v>1.1088271075460849</v>
      </c>
      <c r="AB115" s="23">
        <f>EXP(-LN(2)/2)*AB114+(1-EXP(-LN(2)/2))/(LN(2)/2)*V115*Y115*VLOOKUP('Données projet'!$B$9,Paramètres!$A$1:$I$89,3,0)*0.475*44/12</f>
        <v>5.9534876832039294E-12</v>
      </c>
      <c r="AC115" s="24">
        <f t="shared" si="57"/>
        <v>2.1864536349829446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-3.1036506698001178E-14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164.0740581424559</v>
      </c>
      <c r="AO115" s="62">
        <f t="shared" si="90"/>
        <v>280.99861170359793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3.2310826991355444</v>
      </c>
      <c r="AV115" s="23">
        <f>EXP(-LN(2)/25)*AV114+(1-EXP(-LN(2)/25))/(LN(2)/25)*Calculateur!AQ115*Calculateur!AS115*VLOOKUP('Données projet'!$B$10,Paramètres!$A$1:$I$89,3,0)*0.475*44/12</f>
        <v>3.91407307528987</v>
      </c>
      <c r="AW115" s="23">
        <f>EXP(-LN(2)/2)*AW114+(1-EXP(-LN(2)/2))/(LN(2)/2)*AQ115*AT115*VLOOKUP('Données projet'!$B$10,Paramètres!$A$1:$I$89,3,0)*0.475*44/12</f>
        <v>7.4291484161247196E-12</v>
      </c>
      <c r="AX115" s="23">
        <f t="shared" si="60"/>
        <v>7.1451557744328431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8.5265128291212022E-14</v>
      </c>
      <c r="BE115" s="14">
        <f>BD115*VLOOKUP('Données projet'!$B$11,Paramètres!$A$1:$I$89,3,0)*VLOOKUP('Données projet'!$B$11,Paramètres!$A$1:$I$89,5,0)</f>
        <v>3.990408004028723E-14</v>
      </c>
      <c r="BF115" s="14">
        <f t="shared" si="91"/>
        <v>6.6713074187844705E-13</v>
      </c>
      <c r="BG115" s="22">
        <f t="shared" si="61"/>
        <v>1.2314189815084623E-12</v>
      </c>
      <c r="BH115" s="62">
        <f t="shared" si="62"/>
        <v>293.33333333333456</v>
      </c>
      <c r="BI115" s="62">
        <f ca="1">AVERAGE(OFFSET($BH$3,0,0,'Données projet'!$E$11+1,1))-AVERAGE(OFFSET($H$3,0,0,'Données projet'!$E$11+1,1))</f>
        <v>90.829393941874685</v>
      </c>
      <c r="BJ115" s="62">
        <f t="shared" si="92"/>
        <v>113.5315547498717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0.5928366784727056</v>
      </c>
      <c r="BQ115" s="23">
        <f>EXP(-LN(2)/25)*BQ114+(1-EXP(-LN(2)/25))/(LN(2)/25)*Calculateur!BL115*Calculateur!BN115*VLOOKUP('Données projet'!$B$11,Paramètres!$A$1:$I$89,3,0)*0.475*44/12</f>
        <v>0.58747207761744191</v>
      </c>
      <c r="BR115" s="23">
        <f>EXP(-LN(2)/2)*BR114+(1-EXP(-LN(2)/2))/(LN(2)/2)*BL115*BO115*VLOOKUP('Données projet'!$B$11,Paramètres!$A$1:$I$89,3,0)*0.475*44/12</f>
        <v>1.052442731531875E-12</v>
      </c>
      <c r="BS115" s="24">
        <f t="shared" si="63"/>
        <v>1.1803087560912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-1.4897523215040565E-13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211.95495599943246</v>
      </c>
      <c r="CE115" s="62">
        <f t="shared" si="94"/>
        <v>270.47407508916842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0.49139235601113329</v>
      </c>
      <c r="CL115" s="23">
        <f>EXP(-LN(2)/25)*CL114+(1-EXP(-LN(2)/25))/(LN(2)/25)*Calculateur!CG115*Calculateur!CI115*VLOOKUP('Données projet'!$B$12,Paramètres!$A$1:$I$89,3,0)*0.475*44/12</f>
        <v>1.7628279421181874</v>
      </c>
      <c r="CM115" s="23">
        <f>EXP(-LN(2)/2)*CM114+(1-EXP(-LN(2)/2))/(LN(2)/2)*CG115*CJ115*VLOOKUP('Données projet'!$B$12,Paramètres!$A$1:$I$89,3,0)*0.475*44/12</f>
        <v>5.7422722753898097E-12</v>
      </c>
      <c r="CN115" s="24">
        <f t="shared" si="66"/>
        <v>2.2542202981350625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-4.5474735088646412E-13</v>
      </c>
      <c r="O116" s="14">
        <f>N116*VLOOKUP('Données projet'!$B$9,Paramètres!$A$1:$I$89,3,0)*VLOOKUP('Données projet'!$B$9,Paramètres!$A$1:$I$89,5,0)</f>
        <v>-2.5420376914553347E-13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446.5364328843699</v>
      </c>
      <c r="T116" s="62">
        <f t="shared" si="88"/>
        <v>559.96606361482179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1.0564949285152661</v>
      </c>
      <c r="AA116" s="23">
        <f>EXP(-LN(2)/25)*AA115+(1-EXP(-LN(2)/25))/(LN(2)/25)*Calculateur!V116*Calculateur!X116*VLOOKUP('Données projet'!$B$9,Paramètres!$A$1:$I$89,3,0)*0.475*44/12</f>
        <v>1.0785061719795539</v>
      </c>
      <c r="AB116" s="23">
        <f>EXP(-LN(2)/2)*AB115+(1-EXP(-LN(2)/2))/(LN(2)/2)*V116*Y116*VLOOKUP('Données projet'!$B$9,Paramètres!$A$1:$I$89,3,0)*0.475*44/12</f>
        <v>4.2097515125040866E-12</v>
      </c>
      <c r="AC116" s="24">
        <f t="shared" si="57"/>
        <v>2.1350011004990299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-3.1036506698001178E-14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164.0740581424559</v>
      </c>
      <c r="AO116" s="62">
        <f t="shared" si="90"/>
        <v>280.99861170359793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3.167723138171346</v>
      </c>
      <c r="AV116" s="23">
        <f>EXP(-LN(2)/25)*AV115+(1-EXP(-LN(2)/25))/(LN(2)/25)*Calculateur!AQ116*Calculateur!AS116*VLOOKUP('Données projet'!$B$10,Paramètres!$A$1:$I$89,3,0)*0.475*44/12</f>
        <v>3.8070425412139111</v>
      </c>
      <c r="AW116" s="23">
        <f>EXP(-LN(2)/2)*AW115+(1-EXP(-LN(2)/2))/(LN(2)/2)*AQ116*AT116*VLOOKUP('Données projet'!$B$10,Paramètres!$A$1:$I$89,3,0)*0.475*44/12</f>
        <v>5.2532012234830883E-12</v>
      </c>
      <c r="AX116" s="23">
        <f t="shared" si="60"/>
        <v>6.9747656793905106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8.5265128291212022E-14</v>
      </c>
      <c r="BE116" s="14">
        <f>BD116*VLOOKUP('Données projet'!$B$11,Paramètres!$A$1:$I$89,3,0)*VLOOKUP('Données projet'!$B$11,Paramètres!$A$1:$I$89,5,0)</f>
        <v>3.990408004028723E-14</v>
      </c>
      <c r="BF116" s="14">
        <f t="shared" si="91"/>
        <v>6.6713074187844705E-13</v>
      </c>
      <c r="BG116" s="22">
        <f t="shared" si="61"/>
        <v>1.2314189815084623E-12</v>
      </c>
      <c r="BH116" s="62">
        <f t="shared" si="62"/>
        <v>293.33333333333456</v>
      </c>
      <c r="BI116" s="62">
        <f ca="1">AVERAGE(OFFSET($BH$3,0,0,'Données projet'!$E$11+1,1))-AVERAGE(OFFSET($H$3,0,0,'Données projet'!$E$11+1,1))</f>
        <v>90.829393941874685</v>
      </c>
      <c r="BJ116" s="62">
        <f t="shared" si="92"/>
        <v>113.5315547498717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0.58121151280252525</v>
      </c>
      <c r="BQ116" s="23">
        <f>EXP(-LN(2)/25)*BQ115+(1-EXP(-LN(2)/25))/(LN(2)/25)*Calculateur!BL116*Calculateur!BN116*VLOOKUP('Données projet'!$B$11,Paramètres!$A$1:$I$89,3,0)*0.475*44/12</f>
        <v>0.57140762276117907</v>
      </c>
      <c r="BR116" s="23">
        <f>EXP(-LN(2)/2)*BR115+(1-EXP(-LN(2)/2))/(LN(2)/2)*BL116*BO116*VLOOKUP('Données projet'!$B$11,Paramètres!$A$1:$I$89,3,0)*0.475*44/12</f>
        <v>7.4418939227668191E-13</v>
      </c>
      <c r="BS116" s="24">
        <f t="shared" si="63"/>
        <v>1.1526191355644486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-1.4897523215040565E-13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211.95495599943246</v>
      </c>
      <c r="CE116" s="62">
        <f t="shared" si="94"/>
        <v>270.47407508916842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0.48175645162949726</v>
      </c>
      <c r="CL116" s="23">
        <f>EXP(-LN(2)/25)*CL115+(1-EXP(-LN(2)/25))/(LN(2)/25)*Calculateur!CG116*Calculateur!CI116*VLOOKUP('Données projet'!$B$12,Paramètres!$A$1:$I$89,3,0)*0.475*44/12</f>
        <v>1.714623319337873</v>
      </c>
      <c r="CM116" s="23">
        <f>EXP(-LN(2)/2)*CM115+(1-EXP(-LN(2)/2))/(LN(2)/2)*CG116*CJ116*VLOOKUP('Données projet'!$B$12,Paramètres!$A$1:$I$89,3,0)*0.475*44/12</f>
        <v>4.0603996653476405E-12</v>
      </c>
      <c r="CN116" s="24">
        <f t="shared" si="66"/>
        <v>2.1963797709714306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-4.5474735088646412E-13</v>
      </c>
      <c r="O117" s="14">
        <f>N117*VLOOKUP('Données projet'!$B$9,Paramètres!$A$1:$I$89,3,0)*VLOOKUP('Données projet'!$B$9,Paramètres!$A$1:$I$89,5,0)</f>
        <v>-2.5420376914553347E-13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446.5364328843699</v>
      </c>
      <c r="T117" s="62">
        <f t="shared" si="88"/>
        <v>559.96606361482179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1.0357777073653591</v>
      </c>
      <c r="AA117" s="23">
        <f>EXP(-LN(2)/25)*AA116+(1-EXP(-LN(2)/25))/(LN(2)/25)*Calculateur!V117*Calculateur!X117*VLOOKUP('Données projet'!$B$9,Paramètres!$A$1:$I$89,3,0)*0.475*44/12</f>
        <v>1.0490143639905984</v>
      </c>
      <c r="AB117" s="23">
        <f>EXP(-LN(2)/2)*AB116+(1-EXP(-LN(2)/2))/(LN(2)/2)*V117*Y117*VLOOKUP('Données projet'!$B$9,Paramètres!$A$1:$I$89,3,0)*0.475*44/12</f>
        <v>2.9767438416019647E-12</v>
      </c>
      <c r="AC117" s="24">
        <f t="shared" si="57"/>
        <v>2.0847920713589345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-3.1036506698001178E-14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164.0740581424559</v>
      </c>
      <c r="AO117" s="62">
        <f t="shared" si="90"/>
        <v>280.99861170359793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3.1056060195521393</v>
      </c>
      <c r="AV117" s="23">
        <f>EXP(-LN(2)/25)*AV116+(1-EXP(-LN(2)/25))/(LN(2)/25)*Calculateur!AQ117*Calculateur!AS117*VLOOKUP('Données projet'!$B$10,Paramètres!$A$1:$I$89,3,0)*0.475*44/12</f>
        <v>3.7029387627207506</v>
      </c>
      <c r="AW117" s="23">
        <f>EXP(-LN(2)/2)*AW116+(1-EXP(-LN(2)/2))/(LN(2)/2)*AQ117*AT117*VLOOKUP('Données projet'!$B$10,Paramètres!$A$1:$I$89,3,0)*0.475*44/12</f>
        <v>3.7145742080623598E-12</v>
      </c>
      <c r="AX117" s="23">
        <f t="shared" si="60"/>
        <v>6.8085447822766039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8.5265128291212022E-14</v>
      </c>
      <c r="BE117" s="14">
        <f>BD117*VLOOKUP('Données projet'!$B$11,Paramètres!$A$1:$I$89,3,0)*VLOOKUP('Données projet'!$B$11,Paramètres!$A$1:$I$89,5,0)</f>
        <v>3.990408004028723E-14</v>
      </c>
      <c r="BF117" s="14">
        <f t="shared" si="91"/>
        <v>6.6713074187844705E-13</v>
      </c>
      <c r="BG117" s="22">
        <f t="shared" si="61"/>
        <v>1.2314189815084623E-12</v>
      </c>
      <c r="BH117" s="62">
        <f t="shared" si="62"/>
        <v>293.33333333333456</v>
      </c>
      <c r="BI117" s="62">
        <f ca="1">AVERAGE(OFFSET($BH$3,0,0,'Données projet'!$E$11+1,1))-AVERAGE(OFFSET($H$3,0,0,'Données projet'!$E$11+1,1))</f>
        <v>90.829393941874685</v>
      </c>
      <c r="BJ117" s="62">
        <f t="shared" si="92"/>
        <v>113.5315547498717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0.56981430954048617</v>
      </c>
      <c r="BQ117" s="23">
        <f>EXP(-LN(2)/25)*BQ116+(1-EXP(-LN(2)/25))/(LN(2)/25)*Calculateur!BL117*Calculateur!BN117*VLOOKUP('Données projet'!$B$11,Paramètres!$A$1:$I$89,3,0)*0.475*44/12</f>
        <v>0.55578245126775372</v>
      </c>
      <c r="BR117" s="23">
        <f>EXP(-LN(2)/2)*BR116+(1-EXP(-LN(2)/2))/(LN(2)/2)*BL117*BO117*VLOOKUP('Données projet'!$B$11,Paramètres!$A$1:$I$89,3,0)*0.475*44/12</f>
        <v>5.2622136576593749E-13</v>
      </c>
      <c r="BS117" s="24">
        <f t="shared" si="63"/>
        <v>1.125596760808766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-1.4897523215040565E-13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211.95495599943246</v>
      </c>
      <c r="CE117" s="62">
        <f t="shared" si="94"/>
        <v>270.47407508916842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0.4723095014554638</v>
      </c>
      <c r="CL117" s="23">
        <f>EXP(-LN(2)/25)*CL116+(1-EXP(-LN(2)/25))/(LN(2)/25)*Calculateur!CG117*Calculateur!CI117*VLOOKUP('Données projet'!$B$12,Paramètres!$A$1:$I$89,3,0)*0.475*44/12</f>
        <v>1.6677368545024573</v>
      </c>
      <c r="CM117" s="23">
        <f>EXP(-LN(2)/2)*CM116+(1-EXP(-LN(2)/2))/(LN(2)/2)*CG117*CJ117*VLOOKUP('Données projet'!$B$12,Paramètres!$A$1:$I$89,3,0)*0.475*44/12</f>
        <v>2.8711361376949048E-12</v>
      </c>
      <c r="CN117" s="24">
        <f t="shared" si="66"/>
        <v>2.1400463559607923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-4.5474735088646412E-13</v>
      </c>
      <c r="O118" s="14">
        <f>N118*VLOOKUP('Données projet'!$B$9,Paramètres!$A$1:$I$89,3,0)*VLOOKUP('Données projet'!$B$9,Paramètres!$A$1:$I$89,5,0)</f>
        <v>-2.5420376914553347E-13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446.5364328843699</v>
      </c>
      <c r="T118" s="62">
        <f t="shared" si="88"/>
        <v>559.96606361482179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1.0154667382859446</v>
      </c>
      <c r="AA118" s="23">
        <f>EXP(-LN(2)/25)*AA117+(1-EXP(-LN(2)/25))/(LN(2)/25)*Calculateur!V118*Calculateur!X118*VLOOKUP('Données projet'!$B$9,Paramètres!$A$1:$I$89,3,0)*0.475*44/12</f>
        <v>1.0203290110420076</v>
      </c>
      <c r="AB118" s="23">
        <f>EXP(-LN(2)/2)*AB117+(1-EXP(-LN(2)/2))/(LN(2)/2)*V118*Y118*VLOOKUP('Données projet'!$B$9,Paramètres!$A$1:$I$89,3,0)*0.475*44/12</f>
        <v>2.1048757562520433E-12</v>
      </c>
      <c r="AC118" s="24">
        <f t="shared" si="57"/>
        <v>2.0357957493300569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-3.1036506698001178E-14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164.0740581424559</v>
      </c>
      <c r="AO118" s="62">
        <f t="shared" si="90"/>
        <v>280.99861170359793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3.044706979741354</v>
      </c>
      <c r="AV118" s="23">
        <f>EXP(-LN(2)/25)*AV117+(1-EXP(-LN(2)/25))/(LN(2)/25)*Calculateur!AQ118*Calculateur!AS118*VLOOKUP('Données projet'!$B$10,Paramètres!$A$1:$I$89,3,0)*0.475*44/12</f>
        <v>3.6016817075250653</v>
      </c>
      <c r="AW118" s="23">
        <f>EXP(-LN(2)/2)*AW117+(1-EXP(-LN(2)/2))/(LN(2)/2)*AQ118*AT118*VLOOKUP('Données projet'!$B$10,Paramètres!$A$1:$I$89,3,0)*0.475*44/12</f>
        <v>2.6266006117415441E-12</v>
      </c>
      <c r="AX118" s="23">
        <f t="shared" si="60"/>
        <v>6.6463886872690461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8.5265128291212022E-14</v>
      </c>
      <c r="BE118" s="14">
        <f>BD118*VLOOKUP('Données projet'!$B$11,Paramètres!$A$1:$I$89,3,0)*VLOOKUP('Données projet'!$B$11,Paramètres!$A$1:$I$89,5,0)</f>
        <v>3.990408004028723E-14</v>
      </c>
      <c r="BF118" s="14">
        <f t="shared" si="91"/>
        <v>6.6713074187844705E-13</v>
      </c>
      <c r="BG118" s="22">
        <f t="shared" si="61"/>
        <v>1.2314189815084623E-12</v>
      </c>
      <c r="BH118" s="62">
        <f t="shared" si="62"/>
        <v>293.33333333333456</v>
      </c>
      <c r="BI118" s="62">
        <f ca="1">AVERAGE(OFFSET($BH$3,0,0,'Données projet'!$E$11+1,1))-AVERAGE(OFFSET($H$3,0,0,'Données projet'!$E$11+1,1))</f>
        <v>90.829393941874685</v>
      </c>
      <c r="BJ118" s="62">
        <f t="shared" si="92"/>
        <v>113.5315547498717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0.55864059848280812</v>
      </c>
      <c r="BQ118" s="23">
        <f>EXP(-LN(2)/25)*BQ117+(1-EXP(-LN(2)/25))/(LN(2)/25)*Calculateur!BL118*Calculateur!BN118*VLOOKUP('Données projet'!$B$11,Paramètres!$A$1:$I$89,3,0)*0.475*44/12</f>
        <v>0.54058455091050817</v>
      </c>
      <c r="BR118" s="23">
        <f>EXP(-LN(2)/2)*BR117+(1-EXP(-LN(2)/2))/(LN(2)/2)*BL118*BO118*VLOOKUP('Données projet'!$B$11,Paramètres!$A$1:$I$89,3,0)*0.475*44/12</f>
        <v>3.7209469613834095E-13</v>
      </c>
      <c r="BS118" s="24">
        <f t="shared" si="63"/>
        <v>1.0992251493936884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-1.4897523215040565E-13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211.95495599943246</v>
      </c>
      <c r="CE118" s="62">
        <f t="shared" si="94"/>
        <v>270.47407508916842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0.46304780021227249</v>
      </c>
      <c r="CL118" s="23">
        <f>EXP(-LN(2)/25)*CL117+(1-EXP(-LN(2)/25))/(LN(2)/25)*Calculateur!CG118*Calculateur!CI118*VLOOKUP('Données projet'!$B$12,Paramètres!$A$1:$I$89,3,0)*0.475*44/12</f>
        <v>1.6221325025136182</v>
      </c>
      <c r="CM118" s="23">
        <f>EXP(-LN(2)/2)*CM117+(1-EXP(-LN(2)/2))/(LN(2)/2)*CG118*CJ118*VLOOKUP('Données projet'!$B$12,Paramètres!$A$1:$I$89,3,0)*0.475*44/12</f>
        <v>2.0301998326738202E-12</v>
      </c>
      <c r="CN118" s="24">
        <f t="shared" si="66"/>
        <v>2.0851803027279212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-4.5474735088646412E-13</v>
      </c>
      <c r="O119" s="14">
        <f>N119*VLOOKUP('Données projet'!$B$9,Paramètres!$A$1:$I$89,3,0)*VLOOKUP('Données projet'!$B$9,Paramètres!$A$1:$I$89,5,0)</f>
        <v>-2.5420376914553347E-13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446.5364328843699</v>
      </c>
      <c r="T119" s="62">
        <f t="shared" si="88"/>
        <v>559.96606361482179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0.99555405492170945</v>
      </c>
      <c r="AA119" s="23">
        <f>EXP(-LN(2)/25)*AA118+(1-EXP(-LN(2)/25))/(LN(2)/25)*Calculateur!V119*Calculateur!X119*VLOOKUP('Données projet'!$B$9,Paramètres!$A$1:$I$89,3,0)*0.475*44/12</f>
        <v>0.99242806057829314</v>
      </c>
      <c r="AB119" s="23">
        <f>EXP(-LN(2)/2)*AB118+(1-EXP(-LN(2)/2))/(LN(2)/2)*V119*Y119*VLOOKUP('Données projet'!$B$9,Paramètres!$A$1:$I$89,3,0)*0.475*44/12</f>
        <v>1.4883719208009824E-12</v>
      </c>
      <c r="AC119" s="24">
        <f t="shared" si="57"/>
        <v>1.987982115501491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-3.1036506698001178E-14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164.0740581424559</v>
      </c>
      <c r="AO119" s="62">
        <f t="shared" si="90"/>
        <v>280.99861170359793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2.9850021329565113</v>
      </c>
      <c r="AV119" s="23">
        <f>EXP(-LN(2)/25)*AV118+(1-EXP(-LN(2)/25))/(LN(2)/25)*Calculateur!AQ119*Calculateur!AS119*VLOOKUP('Données projet'!$B$10,Paramètres!$A$1:$I$89,3,0)*0.475*44/12</f>
        <v>3.5031935318285834</v>
      </c>
      <c r="AW119" s="23">
        <f>EXP(-LN(2)/2)*AW118+(1-EXP(-LN(2)/2))/(LN(2)/2)*AQ119*AT119*VLOOKUP('Données projet'!$B$10,Paramètres!$A$1:$I$89,3,0)*0.475*44/12</f>
        <v>1.8572871040311799E-12</v>
      </c>
      <c r="AX119" s="23">
        <f t="shared" si="60"/>
        <v>6.4881956647869519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8.5265128291212022E-14</v>
      </c>
      <c r="BE119" s="14">
        <f>BD119*VLOOKUP('Données projet'!$B$11,Paramètres!$A$1:$I$89,3,0)*VLOOKUP('Données projet'!$B$11,Paramètres!$A$1:$I$89,5,0)</f>
        <v>3.990408004028723E-14</v>
      </c>
      <c r="BF119" s="14">
        <f t="shared" si="91"/>
        <v>6.6713074187844705E-13</v>
      </c>
      <c r="BG119" s="22">
        <f t="shared" si="61"/>
        <v>1.2314189815084623E-12</v>
      </c>
      <c r="BH119" s="62">
        <f t="shared" si="62"/>
        <v>293.33333333333456</v>
      </c>
      <c r="BI119" s="62">
        <f ca="1">AVERAGE(OFFSET($BH$3,0,0,'Données projet'!$E$11+1,1))-AVERAGE(OFFSET($H$3,0,0,'Données projet'!$E$11+1,1))</f>
        <v>90.829393941874685</v>
      </c>
      <c r="BJ119" s="62">
        <f t="shared" si="92"/>
        <v>113.5315547498717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0.54768599708368038</v>
      </c>
      <c r="BQ119" s="23">
        <f>EXP(-LN(2)/25)*BQ118+(1-EXP(-LN(2)/25))/(LN(2)/25)*Calculateur!BL119*Calculateur!BN119*VLOOKUP('Données projet'!$B$11,Paramètres!$A$1:$I$89,3,0)*0.475*44/12</f>
        <v>0.52580223793775427</v>
      </c>
      <c r="BR119" s="23">
        <f>EXP(-LN(2)/2)*BR118+(1-EXP(-LN(2)/2))/(LN(2)/2)*BL119*BO119*VLOOKUP('Données projet'!$B$11,Paramètres!$A$1:$I$89,3,0)*0.475*44/12</f>
        <v>2.6311068288296875E-13</v>
      </c>
      <c r="BS119" s="24">
        <f t="shared" si="63"/>
        <v>1.0734882350216977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-1.4897523215040565E-13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211.95495599943246</v>
      </c>
      <c r="CE119" s="62">
        <f t="shared" si="94"/>
        <v>270.47407508916842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0.45396771528138019</v>
      </c>
      <c r="CL119" s="23">
        <f>EXP(-LN(2)/25)*CL118+(1-EXP(-LN(2)/25))/(LN(2)/25)*Calculateur!CG119*Calculateur!CI119*VLOOKUP('Données projet'!$B$12,Paramètres!$A$1:$I$89,3,0)*0.475*44/12</f>
        <v>1.5777752039281425</v>
      </c>
      <c r="CM119" s="23">
        <f>EXP(-LN(2)/2)*CM118+(1-EXP(-LN(2)/2))/(LN(2)/2)*CG119*CJ119*VLOOKUP('Données projet'!$B$12,Paramètres!$A$1:$I$89,3,0)*0.475*44/12</f>
        <v>1.4355680688474524E-12</v>
      </c>
      <c r="CN119" s="24">
        <f t="shared" si="66"/>
        <v>2.0317429192109584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-4.5474735088646412E-13</v>
      </c>
      <c r="O120" s="14">
        <f>N120*VLOOKUP('Données projet'!$B$9,Paramètres!$A$1:$I$89,3,0)*VLOOKUP('Données projet'!$B$9,Paramètres!$A$1:$I$89,5,0)</f>
        <v>-2.5420376914553347E-13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446.5364328843699</v>
      </c>
      <c r="T120" s="62">
        <f t="shared" si="88"/>
        <v>559.96606361482179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0.97603184713270941</v>
      </c>
      <c r="AA120" s="23">
        <f>EXP(-LN(2)/25)*AA119+(1-EXP(-LN(2)/25))/(LN(2)/25)*Calculateur!V120*Calculateur!X120*VLOOKUP('Données projet'!$B$9,Paramètres!$A$1:$I$89,3,0)*0.475*44/12</f>
        <v>0.96529006307225618</v>
      </c>
      <c r="AB120" s="23">
        <f>EXP(-LN(2)/2)*AB119+(1-EXP(-LN(2)/2))/(LN(2)/2)*V120*Y120*VLOOKUP('Données projet'!$B$9,Paramètres!$A$1:$I$89,3,0)*0.475*44/12</f>
        <v>1.0524378781260217E-12</v>
      </c>
      <c r="AC120" s="24">
        <f t="shared" si="57"/>
        <v>1.941321910206018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-3.1036506698001178E-14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164.0740581424559</v>
      </c>
      <c r="AO120" s="62">
        <f t="shared" si="90"/>
        <v>280.99861170359793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2.926468061800759</v>
      </c>
      <c r="AV120" s="23">
        <f>EXP(-LN(2)/25)*AV119+(1-EXP(-LN(2)/25))/(LN(2)/25)*Calculateur!AQ120*Calculateur!AS120*VLOOKUP('Données projet'!$B$10,Paramètres!$A$1:$I$89,3,0)*0.475*44/12</f>
        <v>3.4073985204757897</v>
      </c>
      <c r="AW120" s="23">
        <f>EXP(-LN(2)/2)*AW119+(1-EXP(-LN(2)/2))/(LN(2)/2)*AQ120*AT120*VLOOKUP('Données projet'!$B$10,Paramètres!$A$1:$I$89,3,0)*0.475*44/12</f>
        <v>1.3133003058707721E-12</v>
      </c>
      <c r="AX120" s="23">
        <f t="shared" si="60"/>
        <v>6.3338665822778628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8.5265128291212022E-14</v>
      </c>
      <c r="BE120" s="14">
        <f>BD120*VLOOKUP('Données projet'!$B$11,Paramètres!$A$1:$I$89,3,0)*VLOOKUP('Données projet'!$B$11,Paramètres!$A$1:$I$89,5,0)</f>
        <v>3.990408004028723E-14</v>
      </c>
      <c r="BF120" s="14">
        <f t="shared" si="91"/>
        <v>6.6713074187844705E-13</v>
      </c>
      <c r="BG120" s="22">
        <f t="shared" si="61"/>
        <v>1.2314189815084623E-12</v>
      </c>
      <c r="BH120" s="62">
        <f t="shared" si="62"/>
        <v>293.33333333333456</v>
      </c>
      <c r="BI120" s="62">
        <f ca="1">AVERAGE(OFFSET($BH$3,0,0,'Données projet'!$E$11+1,1))-AVERAGE(OFFSET($H$3,0,0,'Données projet'!$E$11+1,1))</f>
        <v>90.829393941874685</v>
      </c>
      <c r="BJ120" s="62">
        <f t="shared" si="92"/>
        <v>113.5315547498717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0.53694620873634236</v>
      </c>
      <c r="BQ120" s="23">
        <f>EXP(-LN(2)/25)*BQ119+(1-EXP(-LN(2)/25))/(LN(2)/25)*Calculateur!BL120*Calculateur!BN120*VLOOKUP('Données projet'!$B$11,Paramètres!$A$1:$I$89,3,0)*0.475*44/12</f>
        <v>0.51142414809060843</v>
      </c>
      <c r="BR120" s="23">
        <f>EXP(-LN(2)/2)*BR119+(1-EXP(-LN(2)/2))/(LN(2)/2)*BL120*BO120*VLOOKUP('Données projet'!$B$11,Paramètres!$A$1:$I$89,3,0)*0.475*44/12</f>
        <v>1.8604734806917048E-13</v>
      </c>
      <c r="BS120" s="24">
        <f t="shared" si="63"/>
        <v>1.048370356827137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-1.4897523215040565E-13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211.95495599943246</v>
      </c>
      <c r="CE120" s="62">
        <f t="shared" si="94"/>
        <v>270.47407508916842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0.44506568527767776</v>
      </c>
      <c r="CL120" s="23">
        <f>EXP(-LN(2)/25)*CL119+(1-EXP(-LN(2)/25))/(LN(2)/25)*Calculateur!CG120*Calculateur!CI120*VLOOKUP('Données projet'!$B$12,Paramètres!$A$1:$I$89,3,0)*0.475*44/12</f>
        <v>1.5346308580051355</v>
      </c>
      <c r="CM120" s="23">
        <f>EXP(-LN(2)/2)*CM119+(1-EXP(-LN(2)/2))/(LN(2)/2)*CG120*CJ120*VLOOKUP('Données projet'!$B$12,Paramètres!$A$1:$I$89,3,0)*0.475*44/12</f>
        <v>1.0150999163369101E-12</v>
      </c>
      <c r="CN120" s="24">
        <f t="shared" si="66"/>
        <v>1.9796965432838285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-4.5474735088646412E-13</v>
      </c>
      <c r="O121" s="14">
        <f>N121*VLOOKUP('Données projet'!$B$9,Paramètres!$A$1:$I$89,3,0)*VLOOKUP('Données projet'!$B$9,Paramètres!$A$1:$I$89,5,0)</f>
        <v>-2.5420376914553347E-13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446.5364328843699</v>
      </c>
      <c r="T121" s="62">
        <f t="shared" si="88"/>
        <v>559.96606361482179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0.95689245793108069</v>
      </c>
      <c r="AA121" s="23">
        <f>EXP(-LN(2)/25)*AA120+(1-EXP(-LN(2)/25))/(LN(2)/25)*Calculateur!V121*Calculateur!X121*VLOOKUP('Données projet'!$B$9,Paramètres!$A$1:$I$89,3,0)*0.475*44/12</f>
        <v>0.9388941555351471</v>
      </c>
      <c r="AB121" s="23">
        <f>EXP(-LN(2)/2)*AB120+(1-EXP(-LN(2)/2))/(LN(2)/2)*V121*Y121*VLOOKUP('Données projet'!$B$9,Paramètres!$A$1:$I$89,3,0)*0.475*44/12</f>
        <v>7.4418596040049118E-13</v>
      </c>
      <c r="AC121" s="24">
        <f t="shared" si="57"/>
        <v>1.8957866134669721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-3.1036506698001178E-14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164.0740581424559</v>
      </c>
      <c r="AO121" s="62">
        <f t="shared" si="90"/>
        <v>280.99861170359793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2.8690818080781129</v>
      </c>
      <c r="AV121" s="23">
        <f>EXP(-LN(2)/25)*AV120+(1-EXP(-LN(2)/25))/(LN(2)/25)*Calculateur!AQ121*Calculateur!AS121*VLOOKUP('Données projet'!$B$10,Paramètres!$A$1:$I$89,3,0)*0.475*44/12</f>
        <v>3.314223028746079</v>
      </c>
      <c r="AW121" s="23">
        <f>EXP(-LN(2)/2)*AW120+(1-EXP(-LN(2)/2))/(LN(2)/2)*AQ121*AT121*VLOOKUP('Données projet'!$B$10,Paramètres!$A$1:$I$89,3,0)*0.475*44/12</f>
        <v>9.2864355201558995E-13</v>
      </c>
      <c r="AX121" s="23">
        <f t="shared" si="60"/>
        <v>6.1833048368251209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8.5265128291212022E-14</v>
      </c>
      <c r="BE121" s="14">
        <f>BD121*VLOOKUP('Données projet'!$B$11,Paramètres!$A$1:$I$89,3,0)*VLOOKUP('Données projet'!$B$11,Paramètres!$A$1:$I$89,5,0)</f>
        <v>3.990408004028723E-14</v>
      </c>
      <c r="BF121" s="14">
        <f t="shared" si="91"/>
        <v>6.6713074187844705E-13</v>
      </c>
      <c r="BG121" s="22">
        <f t="shared" si="61"/>
        <v>1.2314189815084623E-12</v>
      </c>
      <c r="BH121" s="62">
        <f t="shared" si="62"/>
        <v>293.33333333333456</v>
      </c>
      <c r="BI121" s="62">
        <f ca="1">AVERAGE(OFFSET($BH$3,0,0,'Données projet'!$E$11+1,1))-AVERAGE(OFFSET($H$3,0,0,'Données projet'!$E$11+1,1))</f>
        <v>90.829393941874685</v>
      </c>
      <c r="BJ121" s="62">
        <f t="shared" si="92"/>
        <v>113.5315547498717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0.52641702108787158</v>
      </c>
      <c r="BQ121" s="23">
        <f>EXP(-LN(2)/25)*BQ120+(1-EXP(-LN(2)/25))/(LN(2)/25)*Calculateur!BL121*Calculateur!BN121*VLOOKUP('Données projet'!$B$11,Paramètres!$A$1:$I$89,3,0)*0.475*44/12</f>
        <v>0.49743922786644368</v>
      </c>
      <c r="BR121" s="23">
        <f>EXP(-LN(2)/2)*BR120+(1-EXP(-LN(2)/2))/(LN(2)/2)*BL121*BO121*VLOOKUP('Données projet'!$B$11,Paramètres!$A$1:$I$89,3,0)*0.475*44/12</f>
        <v>1.3155534144148437E-13</v>
      </c>
      <c r="BS121" s="24">
        <f t="shared" si="63"/>
        <v>1.0238562489544467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-1.4897523215040565E-13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211.95495599943246</v>
      </c>
      <c r="CE121" s="62">
        <f t="shared" si="94"/>
        <v>270.47407508916842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0.43633821865264577</v>
      </c>
      <c r="CL121" s="23">
        <f>EXP(-LN(2)/25)*CL120+(1-EXP(-LN(2)/25))/(LN(2)/25)*Calculateur!CG121*Calculateur!CI121*VLOOKUP('Données projet'!$B$12,Paramètres!$A$1:$I$89,3,0)*0.475*44/12</f>
        <v>1.4926662964902557</v>
      </c>
      <c r="CM121" s="23">
        <f>EXP(-LN(2)/2)*CM120+(1-EXP(-LN(2)/2))/(LN(2)/2)*CG121*CJ121*VLOOKUP('Données projet'!$B$12,Paramètres!$A$1:$I$89,3,0)*0.475*44/12</f>
        <v>7.1778403442372621E-13</v>
      </c>
      <c r="CN121" s="24">
        <f t="shared" si="66"/>
        <v>1.9290045151436195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-4.5474735088646412E-13</v>
      </c>
      <c r="O122" s="14">
        <f>N122*VLOOKUP('Données projet'!$B$9,Paramètres!$A$1:$I$89,3,0)*VLOOKUP('Données projet'!$B$9,Paramètres!$A$1:$I$89,5,0)</f>
        <v>-2.5420376914553347E-13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446.5364328843699</v>
      </c>
      <c r="T122" s="62">
        <f t="shared" si="88"/>
        <v>559.96606361482179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0.93812838047782121</v>
      </c>
      <c r="AA122" s="23">
        <f>EXP(-LN(2)/25)*AA121+(1-EXP(-LN(2)/25))/(LN(2)/25)*Calculateur!V122*Calculateur!X122*VLOOKUP('Données projet'!$B$9,Paramètres!$A$1:$I$89,3,0)*0.475*44/12</f>
        <v>0.91322004547774072</v>
      </c>
      <c r="AB122" s="23">
        <f>EXP(-LN(2)/2)*AB121+(1-EXP(-LN(2)/2))/(LN(2)/2)*V122*Y122*VLOOKUP('Données projet'!$B$9,Paramètres!$A$1:$I$89,3,0)*0.475*44/12</f>
        <v>5.2621893906301083E-13</v>
      </c>
      <c r="AC122" s="24">
        <f t="shared" si="57"/>
        <v>1.8513484259560882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-3.1036506698001178E-14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164.0740581424559</v>
      </c>
      <c r="AO122" s="62">
        <f t="shared" si="90"/>
        <v>280.99861170359793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2.8128208637888092</v>
      </c>
      <c r="AV122" s="23">
        <f>EXP(-LN(2)/25)*AV121+(1-EXP(-LN(2)/25))/(LN(2)/25)*Calculateur!AQ122*Calculateur!AS122*VLOOKUP('Données projet'!$B$10,Paramètres!$A$1:$I$89,3,0)*0.475*44/12</f>
        <v>3.2235954257376029</v>
      </c>
      <c r="AW122" s="23">
        <f>EXP(-LN(2)/2)*AW121+(1-EXP(-LN(2)/2))/(LN(2)/2)*AQ122*AT122*VLOOKUP('Données projet'!$B$10,Paramètres!$A$1:$I$89,3,0)*0.475*44/12</f>
        <v>6.5665015293538603E-13</v>
      </c>
      <c r="AX122" s="23">
        <f t="shared" si="60"/>
        <v>6.036416289527069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8.5265128291212022E-14</v>
      </c>
      <c r="BE122" s="14">
        <f>BD122*VLOOKUP('Données projet'!$B$11,Paramètres!$A$1:$I$89,3,0)*VLOOKUP('Données projet'!$B$11,Paramètres!$A$1:$I$89,5,0)</f>
        <v>3.990408004028723E-14</v>
      </c>
      <c r="BF122" s="14">
        <f t="shared" si="91"/>
        <v>6.6713074187844705E-13</v>
      </c>
      <c r="BG122" s="22">
        <f t="shared" si="61"/>
        <v>1.2314189815084623E-12</v>
      </c>
      <c r="BH122" s="62">
        <f t="shared" si="62"/>
        <v>293.33333333333456</v>
      </c>
      <c r="BI122" s="62">
        <f ca="1">AVERAGE(OFFSET($BH$3,0,0,'Données projet'!$E$11+1,1))-AVERAGE(OFFSET($H$3,0,0,'Données projet'!$E$11+1,1))</f>
        <v>90.829393941874685</v>
      </c>
      <c r="BJ122" s="62">
        <f t="shared" si="92"/>
        <v>113.5315547498717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0.51609430438701698</v>
      </c>
      <c r="BQ122" s="23">
        <f>EXP(-LN(2)/25)*BQ121+(1-EXP(-LN(2)/25))/(LN(2)/25)*Calculateur!BL122*Calculateur!BN122*VLOOKUP('Données projet'!$B$11,Paramètres!$A$1:$I$89,3,0)*0.475*44/12</f>
        <v>0.48383672602124367</v>
      </c>
      <c r="BR122" s="23">
        <f>EXP(-LN(2)/2)*BR121+(1-EXP(-LN(2)/2))/(LN(2)/2)*BL122*BO122*VLOOKUP('Données projet'!$B$11,Paramètres!$A$1:$I$89,3,0)*0.475*44/12</f>
        <v>9.3023674034585239E-14</v>
      </c>
      <c r="BS122" s="24">
        <f t="shared" si="63"/>
        <v>0.99993103040835374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-1.4897523215040565E-13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211.95495599943246</v>
      </c>
      <c r="CE122" s="62">
        <f t="shared" si="94"/>
        <v>270.47407508916842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0.4277818923249016</v>
      </c>
      <c r="CL122" s="23">
        <f>EXP(-LN(2)/25)*CL121+(1-EXP(-LN(2)/25))/(LN(2)/25)*Calculateur!CG122*Calculateur!CI122*VLOOKUP('Données projet'!$B$12,Paramètres!$A$1:$I$89,3,0)*0.475*44/12</f>
        <v>1.4518492581168208</v>
      </c>
      <c r="CM122" s="23">
        <f>EXP(-LN(2)/2)*CM121+(1-EXP(-LN(2)/2))/(LN(2)/2)*CG122*CJ122*VLOOKUP('Données projet'!$B$12,Paramètres!$A$1:$I$89,3,0)*0.475*44/12</f>
        <v>5.0754995816845506E-13</v>
      </c>
      <c r="CN122" s="24">
        <f t="shared" si="66"/>
        <v>1.8796311504422301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-4.5474735088646412E-13</v>
      </c>
      <c r="O123" s="14">
        <f>N123*VLOOKUP('Données projet'!$B$9,Paramètres!$A$1:$I$89,3,0)*VLOOKUP('Données projet'!$B$9,Paramètres!$A$1:$I$89,5,0)</f>
        <v>-2.5420376914553347E-13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446.5364328843699</v>
      </c>
      <c r="T123" s="62">
        <f t="shared" si="88"/>
        <v>559.96606361482179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0.91973225513846302</v>
      </c>
      <c r="AA123" s="23">
        <f>EXP(-LN(2)/25)*AA122+(1-EXP(-LN(2)/25))/(LN(2)/25)*Calculateur!V123*Calculateur!X123*VLOOKUP('Données projet'!$B$9,Paramètres!$A$1:$I$89,3,0)*0.475*44/12</f>
        <v>0.88824799530999687</v>
      </c>
      <c r="AB123" s="23">
        <f>EXP(-LN(2)/2)*AB122+(1-EXP(-LN(2)/2))/(LN(2)/2)*V123*Y123*VLOOKUP('Données projet'!$B$9,Paramètres!$A$1:$I$89,3,0)*0.475*44/12</f>
        <v>3.7209298020024559E-13</v>
      </c>
      <c r="AC123" s="24">
        <f t="shared" si="57"/>
        <v>1.807980250448832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-3.1036506698001178E-14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164.0740581424559</v>
      </c>
      <c r="AO123" s="62">
        <f t="shared" si="90"/>
        <v>280.99861170359793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2.7576631623012311</v>
      </c>
      <c r="AV123" s="23">
        <f>EXP(-LN(2)/25)*AV122+(1-EXP(-LN(2)/25))/(LN(2)/25)*Calculateur!AQ123*Calculateur!AS123*VLOOKUP('Données projet'!$B$10,Paramètres!$A$1:$I$89,3,0)*0.475*44/12</f>
        <v>3.1354460392992922</v>
      </c>
      <c r="AW123" s="23">
        <f>EXP(-LN(2)/2)*AW122+(1-EXP(-LN(2)/2))/(LN(2)/2)*AQ123*AT123*VLOOKUP('Données projet'!$B$10,Paramètres!$A$1:$I$89,3,0)*0.475*44/12</f>
        <v>4.6432177600779497E-13</v>
      </c>
      <c r="AX123" s="23">
        <f t="shared" si="60"/>
        <v>5.8931092016009883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8.5265128291212022E-14</v>
      </c>
      <c r="BE123" s="14">
        <f>BD123*VLOOKUP('Données projet'!$B$11,Paramètres!$A$1:$I$89,3,0)*VLOOKUP('Données projet'!$B$11,Paramètres!$A$1:$I$89,5,0)</f>
        <v>3.990408004028723E-14</v>
      </c>
      <c r="BF123" s="14">
        <f t="shared" si="91"/>
        <v>6.6713074187844705E-13</v>
      </c>
      <c r="BG123" s="22">
        <f t="shared" si="61"/>
        <v>1.2314189815084623E-12</v>
      </c>
      <c r="BH123" s="62">
        <f t="shared" si="62"/>
        <v>293.33333333333456</v>
      </c>
      <c r="BI123" s="62">
        <f ca="1">AVERAGE(OFFSET($BH$3,0,0,'Données projet'!$E$11+1,1))-AVERAGE(OFFSET($H$3,0,0,'Données projet'!$E$11+1,1))</f>
        <v>90.829393941874685</v>
      </c>
      <c r="BJ123" s="62">
        <f t="shared" si="92"/>
        <v>113.5315547498717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0.50597400986443064</v>
      </c>
      <c r="BQ123" s="23">
        <f>EXP(-LN(2)/25)*BQ122+(1-EXP(-LN(2)/25))/(LN(2)/25)*Calculateur!BL123*Calculateur!BN123*VLOOKUP('Données projet'!$B$11,Paramètres!$A$1:$I$89,3,0)*0.475*44/12</f>
        <v>0.47060618530432519</v>
      </c>
      <c r="BR123" s="23">
        <f>EXP(-LN(2)/2)*BR122+(1-EXP(-LN(2)/2))/(LN(2)/2)*BL123*BO123*VLOOKUP('Données projet'!$B$11,Paramètres!$A$1:$I$89,3,0)*0.475*44/12</f>
        <v>6.5777670720742187E-14</v>
      </c>
      <c r="BS123" s="24">
        <f t="shared" si="63"/>
        <v>0.97658019516882155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-1.4897523215040565E-13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211.95495599943246</v>
      </c>
      <c r="CE123" s="62">
        <f t="shared" si="94"/>
        <v>270.47407508916842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0.41939335033760078</v>
      </c>
      <c r="CL123" s="23">
        <f>EXP(-LN(2)/25)*CL122+(1-EXP(-LN(2)/25))/(LN(2)/25)*Calculateur!CG123*Calculateur!CI123*VLOOKUP('Données projet'!$B$12,Paramètres!$A$1:$I$89,3,0)*0.475*44/12</f>
        <v>1.4121483638041821</v>
      </c>
      <c r="CM123" s="23">
        <f>EXP(-LN(2)/2)*CM122+(1-EXP(-LN(2)/2))/(LN(2)/2)*CG123*CJ123*VLOOKUP('Données projet'!$B$12,Paramètres!$A$1:$I$89,3,0)*0.475*44/12</f>
        <v>3.5889201721186311E-13</v>
      </c>
      <c r="CN123" s="24">
        <f t="shared" si="66"/>
        <v>1.8315417141421417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-4.5474735088646412E-13</v>
      </c>
      <c r="O124" s="14">
        <f>N124*VLOOKUP('Données projet'!$B$9,Paramètres!$A$1:$I$89,3,0)*VLOOKUP('Données projet'!$B$9,Paramètres!$A$1:$I$89,5,0)</f>
        <v>-2.5420376914553347E-13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446.5364328843699</v>
      </c>
      <c r="T124" s="62">
        <f t="shared" si="88"/>
        <v>559.96606361482179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0.90169686659648107</v>
      </c>
      <c r="AA124" s="23">
        <f>EXP(-LN(2)/25)*AA123+(1-EXP(-LN(2)/25))/(LN(2)/25)*Calculateur!V124*Calculateur!X124*VLOOKUP('Données projet'!$B$9,Paramètres!$A$1:$I$89,3,0)*0.475*44/12</f>
        <v>0.8639588071673131</v>
      </c>
      <c r="AB124" s="23">
        <f>EXP(-LN(2)/2)*AB123+(1-EXP(-LN(2)/2))/(LN(2)/2)*V124*Y124*VLOOKUP('Données projet'!$B$9,Paramètres!$A$1:$I$89,3,0)*0.475*44/12</f>
        <v>2.6310946953150541E-13</v>
      </c>
      <c r="AC124" s="24">
        <f t="shared" si="57"/>
        <v>1.7656556737640574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-3.1036506698001178E-14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164.0740581424559</v>
      </c>
      <c r="AO124" s="62">
        <f t="shared" si="90"/>
        <v>280.99861170359793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2.7035870696969484</v>
      </c>
      <c r="AV124" s="23">
        <f>EXP(-LN(2)/25)*AV123+(1-EXP(-LN(2)/25))/(LN(2)/25)*Calculateur!AQ124*Calculateur!AS124*VLOOKUP('Données projet'!$B$10,Paramètres!$A$1:$I$89,3,0)*0.475*44/12</f>
        <v>3.0497071024687119</v>
      </c>
      <c r="AW124" s="23">
        <f>EXP(-LN(2)/2)*AW123+(1-EXP(-LN(2)/2))/(LN(2)/2)*AQ124*AT124*VLOOKUP('Données projet'!$B$10,Paramètres!$A$1:$I$89,3,0)*0.475*44/12</f>
        <v>3.2832507646769302E-13</v>
      </c>
      <c r="AX124" s="23">
        <f t="shared" si="60"/>
        <v>5.7532941721659885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8.5265128291212022E-14</v>
      </c>
      <c r="BE124" s="14">
        <f>BD124*VLOOKUP('Données projet'!$B$11,Paramètres!$A$1:$I$89,3,0)*VLOOKUP('Données projet'!$B$11,Paramètres!$A$1:$I$89,5,0)</f>
        <v>3.990408004028723E-14</v>
      </c>
      <c r="BF124" s="14">
        <f t="shared" si="91"/>
        <v>6.6713074187844705E-13</v>
      </c>
      <c r="BG124" s="22">
        <f t="shared" si="61"/>
        <v>1.2314189815084623E-12</v>
      </c>
      <c r="BH124" s="62">
        <f t="shared" si="62"/>
        <v>293.33333333333456</v>
      </c>
      <c r="BI124" s="62">
        <f ca="1">AVERAGE(OFFSET($BH$3,0,0,'Données projet'!$E$11+1,1))-AVERAGE(OFFSET($H$3,0,0,'Données projet'!$E$11+1,1))</f>
        <v>90.829393941874685</v>
      </c>
      <c r="BJ124" s="62">
        <f t="shared" si="92"/>
        <v>113.5315547498717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0.49605216814466213</v>
      </c>
      <c r="BQ124" s="23">
        <f>EXP(-LN(2)/25)*BQ123+(1-EXP(-LN(2)/25))/(LN(2)/25)*Calculateur!BL124*Calculateur!BN124*VLOOKUP('Données projet'!$B$11,Paramètres!$A$1:$I$89,3,0)*0.475*44/12</f>
        <v>0.45773743441907472</v>
      </c>
      <c r="BR124" s="23">
        <f>EXP(-LN(2)/2)*BR123+(1-EXP(-LN(2)/2))/(LN(2)/2)*BL124*BO124*VLOOKUP('Données projet'!$B$11,Paramètres!$A$1:$I$89,3,0)*0.475*44/12</f>
        <v>4.6511837017292619E-14</v>
      </c>
      <c r="BS124" s="24">
        <f t="shared" si="63"/>
        <v>0.95378960256378342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-1.4897523215040565E-13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211.95495599943246</v>
      </c>
      <c r="CE124" s="62">
        <f t="shared" si="94"/>
        <v>270.47407508916842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0.41116930254216549</v>
      </c>
      <c r="CL124" s="23">
        <f>EXP(-LN(2)/25)*CL123+(1-EXP(-LN(2)/25))/(LN(2)/25)*Calculateur!CG124*Calculateur!CI124*VLOOKUP('Données projet'!$B$12,Paramètres!$A$1:$I$89,3,0)*0.475*44/12</f>
        <v>1.3735330925343017</v>
      </c>
      <c r="CM124" s="23">
        <f>EXP(-LN(2)/2)*CM123+(1-EXP(-LN(2)/2))/(LN(2)/2)*CG124*CJ124*VLOOKUP('Données projet'!$B$12,Paramètres!$A$1:$I$89,3,0)*0.475*44/12</f>
        <v>2.5377497908422753E-13</v>
      </c>
      <c r="CN124" s="24">
        <f t="shared" si="66"/>
        <v>1.7847023950767209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-4.5474735088646412E-13</v>
      </c>
      <c r="O125" s="14">
        <f>N125*VLOOKUP('Données projet'!$B$9,Paramètres!$A$1:$I$89,3,0)*VLOOKUP('Données projet'!$B$9,Paramètres!$A$1:$I$89,5,0)</f>
        <v>-2.5420376914553347E-13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446.5364328843699</v>
      </c>
      <c r="T125" s="62">
        <f t="shared" si="88"/>
        <v>559.96606361482179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0.88401514102330658</v>
      </c>
      <c r="AA125" s="23">
        <f>EXP(-LN(2)/25)*AA124+(1-EXP(-LN(2)/25))/(LN(2)/25)*Calculateur!V125*Calculateur!X125*VLOOKUP('Données projet'!$B$9,Paramètres!$A$1:$I$89,3,0)*0.475*44/12</f>
        <v>0.84033380815170389</v>
      </c>
      <c r="AB125" s="23">
        <f>EXP(-LN(2)/2)*AB124+(1-EXP(-LN(2)/2))/(LN(2)/2)*V125*Y125*VLOOKUP('Données projet'!$B$9,Paramètres!$A$1:$I$89,3,0)*0.475*44/12</f>
        <v>1.8604649010012279E-13</v>
      </c>
      <c r="AC125" s="24">
        <f t="shared" si="57"/>
        <v>1.7243489491751967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-3.1036506698001178E-14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164.0740581424559</v>
      </c>
      <c r="AO125" s="62">
        <f t="shared" si="90"/>
        <v>280.99861170359793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2.6505713762854759</v>
      </c>
      <c r="AV125" s="23">
        <f>EXP(-LN(2)/25)*AV124+(1-EXP(-LN(2)/25))/(LN(2)/25)*Calculateur!AQ125*Calculateur!AS125*VLOOKUP('Données projet'!$B$10,Paramètres!$A$1:$I$89,3,0)*0.475*44/12</f>
        <v>2.9663127013745787</v>
      </c>
      <c r="AW125" s="23">
        <f>EXP(-LN(2)/2)*AW124+(1-EXP(-LN(2)/2))/(LN(2)/2)*AQ125*AT125*VLOOKUP('Données projet'!$B$10,Paramètres!$A$1:$I$89,3,0)*0.475*44/12</f>
        <v>2.3216088800389749E-13</v>
      </c>
      <c r="AX125" s="23">
        <f t="shared" si="60"/>
        <v>5.6168840776602869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8.5265128291212022E-14</v>
      </c>
      <c r="BE125" s="14">
        <f>BD125*VLOOKUP('Données projet'!$B$11,Paramètres!$A$1:$I$89,3,0)*VLOOKUP('Données projet'!$B$11,Paramètres!$A$1:$I$89,5,0)</f>
        <v>3.990408004028723E-14</v>
      </c>
      <c r="BF125" s="14">
        <f t="shared" si="91"/>
        <v>6.6713074187844705E-13</v>
      </c>
      <c r="BG125" s="22">
        <f t="shared" si="61"/>
        <v>1.2314189815084623E-12</v>
      </c>
      <c r="BH125" s="62">
        <f t="shared" si="62"/>
        <v>293.33333333333456</v>
      </c>
      <c r="BI125" s="62">
        <f ca="1">AVERAGE(OFFSET($BH$3,0,0,'Données projet'!$E$11+1,1))-AVERAGE(OFFSET($H$3,0,0,'Données projet'!$E$11+1,1))</f>
        <v>90.829393941874685</v>
      </c>
      <c r="BJ125" s="62">
        <f t="shared" si="92"/>
        <v>113.5315547498717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0.48632488768929238</v>
      </c>
      <c r="BQ125" s="23">
        <f>EXP(-LN(2)/25)*BQ124+(1-EXP(-LN(2)/25))/(LN(2)/25)*Calculateur!BL125*Calculateur!BN125*VLOOKUP('Données projet'!$B$11,Paramètres!$A$1:$I$89,3,0)*0.475*44/12</f>
        <v>0.44522058020351962</v>
      </c>
      <c r="BR125" s="23">
        <f>EXP(-LN(2)/2)*BR124+(1-EXP(-LN(2)/2))/(LN(2)/2)*BL125*BO125*VLOOKUP('Données projet'!$B$11,Paramètres!$A$1:$I$89,3,0)*0.475*44/12</f>
        <v>3.2888835360371093E-14</v>
      </c>
      <c r="BS125" s="24">
        <f t="shared" si="63"/>
        <v>0.93154546789284487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-1.4897523215040565E-13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211.95495599943246</v>
      </c>
      <c r="CE125" s="62">
        <f t="shared" si="94"/>
        <v>270.47407508916842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0.40310652330782487</v>
      </c>
      <c r="CL125" s="23">
        <f>EXP(-LN(2)/25)*CL124+(1-EXP(-LN(2)/25))/(LN(2)/25)*Calculateur!CG125*Calculateur!CI125*VLOOKUP('Données projet'!$B$12,Paramètres!$A$1:$I$89,3,0)*0.475*44/12</f>
        <v>1.3359737578879851</v>
      </c>
      <c r="CM125" s="23">
        <f>EXP(-LN(2)/2)*CM124+(1-EXP(-LN(2)/2))/(LN(2)/2)*CG125*CJ125*VLOOKUP('Données projet'!$B$12,Paramètres!$A$1:$I$89,3,0)*0.475*44/12</f>
        <v>1.7944600860593155E-13</v>
      </c>
      <c r="CN125" s="24">
        <f t="shared" si="66"/>
        <v>1.7390802811959893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-4.5474735088646412E-13</v>
      </c>
      <c r="O126" s="14">
        <f>N126*VLOOKUP('Données projet'!$B$9,Paramètres!$A$1:$I$89,3,0)*VLOOKUP('Données projet'!$B$9,Paramètres!$A$1:$I$89,5,0)</f>
        <v>-2.5420376914553347E-13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446.5364328843699</v>
      </c>
      <c r="T126" s="62">
        <f t="shared" si="88"/>
        <v>559.96606361482179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0.86668014330383436</v>
      </c>
      <c r="AA126" s="23">
        <f>EXP(-LN(2)/25)*AA125+(1-EXP(-LN(2)/25))/(LN(2)/25)*Calculateur!V126*Calculateur!X126*VLOOKUP('Données projet'!$B$9,Paramètres!$A$1:$I$89,3,0)*0.475*44/12</f>
        <v>0.81735483597656122</v>
      </c>
      <c r="AB126" s="23">
        <f>EXP(-LN(2)/2)*AB125+(1-EXP(-LN(2)/2))/(LN(2)/2)*V126*Y126*VLOOKUP('Données projet'!$B$9,Paramètres!$A$1:$I$89,3,0)*0.475*44/12</f>
        <v>1.3155473476575271E-13</v>
      </c>
      <c r="AC126" s="24">
        <f t="shared" si="57"/>
        <v>1.6840349792805269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-3.1036506698001178E-14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164.0740581424559</v>
      </c>
      <c r="AO126" s="62">
        <f t="shared" si="90"/>
        <v>280.99861170359793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2.5985952882854226</v>
      </c>
      <c r="AV126" s="23">
        <f>EXP(-LN(2)/25)*AV125+(1-EXP(-LN(2)/25))/(LN(2)/25)*Calculateur!AQ126*Calculateur!AS126*VLOOKUP('Données projet'!$B$10,Paramètres!$A$1:$I$89,3,0)*0.475*44/12</f>
        <v>2.8851987245638853</v>
      </c>
      <c r="AW126" s="23">
        <f>EXP(-LN(2)/2)*AW125+(1-EXP(-LN(2)/2))/(LN(2)/2)*AQ126*AT126*VLOOKUP('Données projet'!$B$10,Paramètres!$A$1:$I$89,3,0)*0.475*44/12</f>
        <v>1.6416253823384651E-13</v>
      </c>
      <c r="AX126" s="23">
        <f t="shared" si="60"/>
        <v>5.4837940128494722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8.5265128291212022E-14</v>
      </c>
      <c r="BE126" s="14">
        <f>BD126*VLOOKUP('Données projet'!$B$11,Paramètres!$A$1:$I$89,3,0)*VLOOKUP('Données projet'!$B$11,Paramètres!$A$1:$I$89,5,0)</f>
        <v>3.990408004028723E-14</v>
      </c>
      <c r="BF126" s="14">
        <f t="shared" si="91"/>
        <v>6.6713074187844705E-13</v>
      </c>
      <c r="BG126" s="22">
        <f t="shared" si="61"/>
        <v>1.2314189815084623E-12</v>
      </c>
      <c r="BH126" s="62">
        <f t="shared" si="62"/>
        <v>293.33333333333456</v>
      </c>
      <c r="BI126" s="62">
        <f ca="1">AVERAGE(OFFSET($BH$3,0,0,'Données projet'!$E$11+1,1))-AVERAGE(OFFSET($H$3,0,0,'Données projet'!$E$11+1,1))</f>
        <v>90.829393941874685</v>
      </c>
      <c r="BJ126" s="62">
        <f t="shared" si="92"/>
        <v>113.5315547498717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0.47678835327059715</v>
      </c>
      <c r="BQ126" s="23">
        <f>EXP(-LN(2)/25)*BQ125+(1-EXP(-LN(2)/25))/(LN(2)/25)*Calculateur!BL126*Calculateur!BN126*VLOOKUP('Données projet'!$B$11,Paramètres!$A$1:$I$89,3,0)*0.475*44/12</f>
        <v>0.43304600002472166</v>
      </c>
      <c r="BR126" s="23">
        <f>EXP(-LN(2)/2)*BR125+(1-EXP(-LN(2)/2))/(LN(2)/2)*BL126*BO126*VLOOKUP('Données projet'!$B$11,Paramètres!$A$1:$I$89,3,0)*0.475*44/12</f>
        <v>2.325591850864631E-14</v>
      </c>
      <c r="BS126" s="24">
        <f t="shared" si="63"/>
        <v>0.90983435329534201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-1.4897523215040565E-13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211.95495599943246</v>
      </c>
      <c r="CE126" s="62">
        <f t="shared" si="94"/>
        <v>270.47407508916842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0.39520185025645993</v>
      </c>
      <c r="CL126" s="23">
        <f>EXP(-LN(2)/25)*CL125+(1-EXP(-LN(2)/25))/(LN(2)/25)*Calculateur!CG126*Calculateur!CI126*VLOOKUP('Données projet'!$B$12,Paramètres!$A$1:$I$89,3,0)*0.475*44/12</f>
        <v>1.2994414852227316</v>
      </c>
      <c r="CM126" s="23">
        <f>EXP(-LN(2)/2)*CM125+(1-EXP(-LN(2)/2))/(LN(2)/2)*CG126*CJ126*VLOOKUP('Données projet'!$B$12,Paramètres!$A$1:$I$89,3,0)*0.475*44/12</f>
        <v>1.2688748954211377E-13</v>
      </c>
      <c r="CN126" s="24">
        <f t="shared" si="66"/>
        <v>1.6946433354793184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-4.5474735088646412E-13</v>
      </c>
      <c r="O127" s="14">
        <f>N127*VLOOKUP('Données projet'!$B$9,Paramètres!$A$1:$I$89,3,0)*VLOOKUP('Données projet'!$B$9,Paramètres!$A$1:$I$89,5,0)</f>
        <v>-2.5420376914553347E-13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446.5364328843699</v>
      </c>
      <c r="T127" s="62">
        <f t="shared" si="88"/>
        <v>559.96606361482179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0.84968507431633644</v>
      </c>
      <c r="AA127" s="23">
        <f>EXP(-LN(2)/25)*AA126+(1-EXP(-LN(2)/25))/(LN(2)/25)*Calculateur!V127*Calculateur!X127*VLOOKUP('Données projet'!$B$9,Paramètres!$A$1:$I$89,3,0)*0.475*44/12</f>
        <v>0.7950042250039594</v>
      </c>
      <c r="AB127" s="23">
        <f>EXP(-LN(2)/2)*AB126+(1-EXP(-LN(2)/2))/(LN(2)/2)*V127*Y127*VLOOKUP('Données projet'!$B$9,Paramètres!$A$1:$I$89,3,0)*0.475*44/12</f>
        <v>9.3023245050061397E-14</v>
      </c>
      <c r="AC127" s="24">
        <f t="shared" si="57"/>
        <v>1.6446892993203888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-3.1036506698001178E-14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164.0740581424559</v>
      </c>
      <c r="AO127" s="62">
        <f t="shared" si="90"/>
        <v>280.99861170359793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2.5476384196687669</v>
      </c>
      <c r="AV127" s="23">
        <f>EXP(-LN(2)/25)*AV126+(1-EXP(-LN(2)/25))/(LN(2)/25)*Calculateur!AQ127*Calculateur!AS127*VLOOKUP('Données projet'!$B$10,Paramètres!$A$1:$I$89,3,0)*0.475*44/12</f>
        <v>2.8063028137146793</v>
      </c>
      <c r="AW127" s="23">
        <f>EXP(-LN(2)/2)*AW126+(1-EXP(-LN(2)/2))/(LN(2)/2)*AQ127*AT127*VLOOKUP('Données projet'!$B$10,Paramètres!$A$1:$I$89,3,0)*0.475*44/12</f>
        <v>1.1608044400194874E-13</v>
      </c>
      <c r="AX127" s="23">
        <f t="shared" si="60"/>
        <v>5.353941233383563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8.5265128291212022E-14</v>
      </c>
      <c r="BE127" s="14">
        <f>BD127*VLOOKUP('Données projet'!$B$11,Paramètres!$A$1:$I$89,3,0)*VLOOKUP('Données projet'!$B$11,Paramètres!$A$1:$I$89,5,0)</f>
        <v>3.990408004028723E-14</v>
      </c>
      <c r="BF127" s="14">
        <f t="shared" si="91"/>
        <v>6.6713074187844705E-13</v>
      </c>
      <c r="BG127" s="22">
        <f t="shared" si="61"/>
        <v>1.2314189815084623E-12</v>
      </c>
      <c r="BH127" s="62">
        <f t="shared" si="62"/>
        <v>293.33333333333456</v>
      </c>
      <c r="BI127" s="62">
        <f ca="1">AVERAGE(OFFSET($BH$3,0,0,'Données projet'!$E$11+1,1))-AVERAGE(OFFSET($H$3,0,0,'Données projet'!$E$11+1,1))</f>
        <v>90.829393941874685</v>
      </c>
      <c r="BJ127" s="62">
        <f t="shared" si="92"/>
        <v>113.5315547498717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0.4674388244751409</v>
      </c>
      <c r="BQ127" s="23">
        <f>EXP(-LN(2)/25)*BQ126+(1-EXP(-LN(2)/25))/(LN(2)/25)*Calculateur!BL127*Calculateur!BN127*VLOOKUP('Données projet'!$B$11,Paramètres!$A$1:$I$89,3,0)*0.475*44/12</f>
        <v>0.42120433438114624</v>
      </c>
      <c r="BR127" s="23">
        <f>EXP(-LN(2)/2)*BR126+(1-EXP(-LN(2)/2))/(LN(2)/2)*BL127*BO127*VLOOKUP('Données projet'!$B$11,Paramètres!$A$1:$I$89,3,0)*0.475*44/12</f>
        <v>1.6444417680185547E-14</v>
      </c>
      <c r="BS127" s="24">
        <f t="shared" si="63"/>
        <v>0.88864315885630352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-1.4897523215040565E-13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211.95495599943246</v>
      </c>
      <c r="CE127" s="62">
        <f t="shared" si="94"/>
        <v>270.47407508916842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0.38745218302225776</v>
      </c>
      <c r="CL127" s="23">
        <f>EXP(-LN(2)/25)*CL126+(1-EXP(-LN(2)/25))/(LN(2)/25)*Calculateur!CG127*Calculateur!CI127*VLOOKUP('Données projet'!$B$12,Paramètres!$A$1:$I$89,3,0)*0.475*44/12</f>
        <v>1.2639081894746582</v>
      </c>
      <c r="CM127" s="23">
        <f>EXP(-LN(2)/2)*CM126+(1-EXP(-LN(2)/2))/(LN(2)/2)*CG127*CJ127*VLOOKUP('Données projet'!$B$12,Paramètres!$A$1:$I$89,3,0)*0.475*44/12</f>
        <v>8.9723004302965777E-14</v>
      </c>
      <c r="CN127" s="24">
        <f t="shared" si="66"/>
        <v>1.6513603724970056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-4.5474735088646412E-13</v>
      </c>
      <c r="O128" s="14">
        <f>N128*VLOOKUP('Données projet'!$B$9,Paramètres!$A$1:$I$89,3,0)*VLOOKUP('Données projet'!$B$9,Paramètres!$A$1:$I$89,5,0)</f>
        <v>-2.5420376914553347E-13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446.5364328843699</v>
      </c>
      <c r="T128" s="62">
        <f t="shared" si="88"/>
        <v>559.96606361482179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0.83302326826571482</v>
      </c>
      <c r="AA128" s="23">
        <f>EXP(-LN(2)/25)*AA127+(1-EXP(-LN(2)/25))/(LN(2)/25)*Calculateur!V128*Calculateur!X128*VLOOKUP('Données projet'!$B$9,Paramètres!$A$1:$I$89,3,0)*0.475*44/12</f>
        <v>0.77326479266377091</v>
      </c>
      <c r="AB128" s="23">
        <f>EXP(-LN(2)/2)*AB127+(1-EXP(-LN(2)/2))/(LN(2)/2)*V128*Y128*VLOOKUP('Données projet'!$B$9,Paramètres!$A$1:$I$89,3,0)*0.475*44/12</f>
        <v>6.5777367382876353E-14</v>
      </c>
      <c r="AC128" s="24">
        <f t="shared" si="57"/>
        <v>1.6062880609295513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-3.1036506698001178E-14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164.0740581424559</v>
      </c>
      <c r="AO128" s="62">
        <f t="shared" si="90"/>
        <v>280.99861170359793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2.497680784165063</v>
      </c>
      <c r="AV128" s="23">
        <f>EXP(-LN(2)/25)*AV127+(1-EXP(-LN(2)/25))/(LN(2)/25)*Calculateur!AQ128*Calculateur!AS128*VLOOKUP('Données projet'!$B$10,Paramètres!$A$1:$I$89,3,0)*0.475*44/12</f>
        <v>2.7295643156966003</v>
      </c>
      <c r="AW128" s="23">
        <f>EXP(-LN(2)/2)*AW127+(1-EXP(-LN(2)/2))/(LN(2)/2)*AQ128*AT128*VLOOKUP('Données projet'!$B$10,Paramètres!$A$1:$I$89,3,0)*0.475*44/12</f>
        <v>8.2081269116923254E-14</v>
      </c>
      <c r="AX128" s="23">
        <f t="shared" si="60"/>
        <v>5.2272450998617455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8.5265128291212022E-14</v>
      </c>
      <c r="BE128" s="14">
        <f>BD128*VLOOKUP('Données projet'!$B$11,Paramètres!$A$1:$I$89,3,0)*VLOOKUP('Données projet'!$B$11,Paramètres!$A$1:$I$89,5,0)</f>
        <v>3.990408004028723E-14</v>
      </c>
      <c r="BF128" s="14">
        <f t="shared" si="91"/>
        <v>6.6713074187844705E-13</v>
      </c>
      <c r="BG128" s="22">
        <f t="shared" si="61"/>
        <v>1.2314189815084623E-12</v>
      </c>
      <c r="BH128" s="62">
        <f t="shared" si="62"/>
        <v>293.33333333333456</v>
      </c>
      <c r="BI128" s="62">
        <f ca="1">AVERAGE(OFFSET($BH$3,0,0,'Données projet'!$E$11+1,1))-AVERAGE(OFFSET($H$3,0,0,'Données projet'!$E$11+1,1))</f>
        <v>90.829393941874685</v>
      </c>
      <c r="BJ128" s="62">
        <f t="shared" si="92"/>
        <v>113.5315547498717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0.4582726342367141</v>
      </c>
      <c r="BQ128" s="23">
        <f>EXP(-LN(2)/25)*BQ127+(1-EXP(-LN(2)/25))/(LN(2)/25)*Calculateur!BL128*Calculateur!BN128*VLOOKUP('Données projet'!$B$11,Paramètres!$A$1:$I$89,3,0)*0.475*44/12</f>
        <v>0.40968647970732053</v>
      </c>
      <c r="BR128" s="23">
        <f>EXP(-LN(2)/2)*BR127+(1-EXP(-LN(2)/2))/(LN(2)/2)*BL128*BO128*VLOOKUP('Données projet'!$B$11,Paramètres!$A$1:$I$89,3,0)*0.475*44/12</f>
        <v>1.1627959254323155E-14</v>
      </c>
      <c r="BS128" s="24">
        <f t="shared" si="63"/>
        <v>0.86795911394404623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-1.4897523215040565E-13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211.95495599943246</v>
      </c>
      <c r="CE128" s="62">
        <f t="shared" si="94"/>
        <v>270.47407508916842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0.379854482035688</v>
      </c>
      <c r="CL128" s="23">
        <f>EXP(-LN(2)/25)*CL127+(1-EXP(-LN(2)/25))/(LN(2)/25)*Calculateur!CG128*Calculateur!CI128*VLOOKUP('Données projet'!$B$12,Paramètres!$A$1:$I$89,3,0)*0.475*44/12</f>
        <v>1.2293465535674306</v>
      </c>
      <c r="CM128" s="23">
        <f>EXP(-LN(2)/2)*CM127+(1-EXP(-LN(2)/2))/(LN(2)/2)*CG128*CJ128*VLOOKUP('Données projet'!$B$12,Paramètres!$A$1:$I$89,3,0)*0.475*44/12</f>
        <v>6.3443744771056883E-14</v>
      </c>
      <c r="CN128" s="24">
        <f t="shared" si="66"/>
        <v>1.6092010356031821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-4.5474735088646412E-13</v>
      </c>
      <c r="O129" s="14">
        <f>N129*VLOOKUP('Données projet'!$B$9,Paramètres!$A$1:$I$89,3,0)*VLOOKUP('Données projet'!$B$9,Paramètres!$A$1:$I$89,5,0)</f>
        <v>-2.5420376914553347E-13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446.5364328843699</v>
      </c>
      <c r="T129" s="62">
        <f t="shared" si="88"/>
        <v>559.96606361482179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0.81668819006904769</v>
      </c>
      <c r="AA129" s="23">
        <f>EXP(-LN(2)/25)*AA128+(1-EXP(-LN(2)/25))/(LN(2)/25)*Calculateur!V129*Calculateur!X129*VLOOKUP('Données projet'!$B$9,Paramètres!$A$1:$I$89,3,0)*0.475*44/12</f>
        <v>0.75211982624415197</v>
      </c>
      <c r="AB129" s="23">
        <f>EXP(-LN(2)/2)*AB128+(1-EXP(-LN(2)/2))/(LN(2)/2)*V129*Y129*VLOOKUP('Données projet'!$B$9,Paramètres!$A$1:$I$89,3,0)*0.475*44/12</f>
        <v>4.6511622525030699E-14</v>
      </c>
      <c r="AC129" s="24">
        <f t="shared" si="57"/>
        <v>1.5688080163132461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-3.1036506698001178E-14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164.0740581424559</v>
      </c>
      <c r="AO129" s="62">
        <f t="shared" si="90"/>
        <v>280.99861170359793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2.4487027874224379</v>
      </c>
      <c r="AV129" s="23">
        <f>EXP(-LN(2)/25)*AV128+(1-EXP(-LN(2)/25))/(LN(2)/25)*Calculateur!AQ129*Calculateur!AS129*VLOOKUP('Données projet'!$B$10,Paramètres!$A$1:$I$89,3,0)*0.475*44/12</f>
        <v>2.6549242359423277</v>
      </c>
      <c r="AW129" s="23">
        <f>EXP(-LN(2)/2)*AW128+(1-EXP(-LN(2)/2))/(LN(2)/2)*AQ129*AT129*VLOOKUP('Données projet'!$B$10,Paramètres!$A$1:$I$89,3,0)*0.475*44/12</f>
        <v>5.8040222000974372E-14</v>
      </c>
      <c r="AX129" s="23">
        <f t="shared" si="60"/>
        <v>5.1036270233648233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8.5265128291212022E-14</v>
      </c>
      <c r="BE129" s="14">
        <f>BD129*VLOOKUP('Données projet'!$B$11,Paramètres!$A$1:$I$89,3,0)*VLOOKUP('Données projet'!$B$11,Paramètres!$A$1:$I$89,5,0)</f>
        <v>3.990408004028723E-14</v>
      </c>
      <c r="BF129" s="14">
        <f t="shared" si="91"/>
        <v>6.6713074187844705E-13</v>
      </c>
      <c r="BG129" s="22">
        <f t="shared" si="61"/>
        <v>1.2314189815084623E-12</v>
      </c>
      <c r="BH129" s="62">
        <f t="shared" si="62"/>
        <v>293.33333333333456</v>
      </c>
      <c r="BI129" s="62">
        <f ca="1">AVERAGE(OFFSET($BH$3,0,0,'Données projet'!$E$11+1,1))-AVERAGE(OFFSET($H$3,0,0,'Données projet'!$E$11+1,1))</f>
        <v>90.829393941874685</v>
      </c>
      <c r="BJ129" s="62">
        <f t="shared" si="92"/>
        <v>113.5315547498717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0.44928618739803883</v>
      </c>
      <c r="BQ129" s="23">
        <f>EXP(-LN(2)/25)*BQ128+(1-EXP(-LN(2)/25))/(LN(2)/25)*Calculateur!BL129*Calculateur!BN129*VLOOKUP('Données projet'!$B$11,Paramètres!$A$1:$I$89,3,0)*0.475*44/12</f>
        <v>0.39848358137524825</v>
      </c>
      <c r="BR129" s="23">
        <f>EXP(-LN(2)/2)*BR128+(1-EXP(-LN(2)/2))/(LN(2)/2)*BL129*BO129*VLOOKUP('Données projet'!$B$11,Paramètres!$A$1:$I$89,3,0)*0.475*44/12</f>
        <v>8.2222088400927734E-15</v>
      </c>
      <c r="BS129" s="24">
        <f t="shared" si="63"/>
        <v>0.84776976877329524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-1.4897523215040565E-13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211.95495599943246</v>
      </c>
      <c r="CE129" s="62">
        <f t="shared" si="94"/>
        <v>270.47407508916842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0.37240576733132486</v>
      </c>
      <c r="CL129" s="23">
        <f>EXP(-LN(2)/25)*CL128+(1-EXP(-LN(2)/25))/(LN(2)/25)*Calculateur!CG129*Calculateur!CI129*VLOOKUP('Données projet'!$B$12,Paramètres!$A$1:$I$89,3,0)*0.475*44/12</f>
        <v>1.1957300074116037</v>
      </c>
      <c r="CM129" s="23">
        <f>EXP(-LN(2)/2)*CM128+(1-EXP(-LN(2)/2))/(LN(2)/2)*CG129*CJ129*VLOOKUP('Données projet'!$B$12,Paramètres!$A$1:$I$89,3,0)*0.475*44/12</f>
        <v>4.4861502151482888E-14</v>
      </c>
      <c r="CN129" s="24">
        <f t="shared" si="66"/>
        <v>1.5681357747429734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-4.5474735088646412E-13</v>
      </c>
      <c r="O130" s="14">
        <f>N130*VLOOKUP('Données projet'!$B$9,Paramètres!$A$1:$I$89,3,0)*VLOOKUP('Données projet'!$B$9,Paramètres!$A$1:$I$89,5,0)</f>
        <v>-2.5420376914553347E-13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446.5364328843699</v>
      </c>
      <c r="T130" s="62">
        <f t="shared" si="88"/>
        <v>559.96606361482179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0.80067343279240333</v>
      </c>
      <c r="AA130" s="23">
        <f>EXP(-LN(2)/25)*AA129+(1-EXP(-LN(2)/25))/(LN(2)/25)*Calculateur!V130*Calculateur!X130*VLOOKUP('Données projet'!$B$9,Paramètres!$A$1:$I$89,3,0)*0.475*44/12</f>
        <v>0.73155307004324299</v>
      </c>
      <c r="AB130" s="23">
        <f>EXP(-LN(2)/2)*AB129+(1-EXP(-LN(2)/2))/(LN(2)/2)*V130*Y130*VLOOKUP('Données projet'!$B$9,Paramètres!$A$1:$I$89,3,0)*0.475*44/12</f>
        <v>3.2888683691438177E-14</v>
      </c>
      <c r="AC130" s="24">
        <f t="shared" si="57"/>
        <v>1.5322265028356792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-3.1036506698001178E-14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164.0740581424559</v>
      </c>
      <c r="AO130" s="62">
        <f t="shared" si="90"/>
        <v>280.99861170359793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2.4006852193223072</v>
      </c>
      <c r="AV130" s="23">
        <f>EXP(-LN(2)/25)*AV129+(1-EXP(-LN(2)/25))/(LN(2)/25)*Calculateur!AQ130*Calculateur!AS130*VLOOKUP('Données projet'!$B$10,Paramètres!$A$1:$I$89,3,0)*0.475*44/12</f>
        <v>2.5823251930940869</v>
      </c>
      <c r="AW130" s="23">
        <f>EXP(-LN(2)/2)*AW129+(1-EXP(-LN(2)/2))/(LN(2)/2)*AQ130*AT130*VLOOKUP('Données projet'!$B$10,Paramètres!$A$1:$I$89,3,0)*0.475*44/12</f>
        <v>4.1040634558461627E-14</v>
      </c>
      <c r="AX130" s="23">
        <f t="shared" si="60"/>
        <v>4.9830104124164354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8.5265128291212022E-14</v>
      </c>
      <c r="BE130" s="14">
        <f>BD130*VLOOKUP('Données projet'!$B$11,Paramètres!$A$1:$I$89,3,0)*VLOOKUP('Données projet'!$B$11,Paramètres!$A$1:$I$89,5,0)</f>
        <v>3.990408004028723E-14</v>
      </c>
      <c r="BF130" s="14">
        <f t="shared" si="91"/>
        <v>6.6713074187844705E-13</v>
      </c>
      <c r="BG130" s="22">
        <f t="shared" si="61"/>
        <v>1.2314189815084623E-12</v>
      </c>
      <c r="BH130" s="62">
        <f t="shared" si="62"/>
        <v>293.33333333333456</v>
      </c>
      <c r="BI130" s="62">
        <f ca="1">AVERAGE(OFFSET($BH$3,0,0,'Données projet'!$E$11+1,1))-AVERAGE(OFFSET($H$3,0,0,'Données projet'!$E$11+1,1))</f>
        <v>90.829393941874685</v>
      </c>
      <c r="BJ130" s="62">
        <f t="shared" si="92"/>
        <v>113.5315547498717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0.44047595930067862</v>
      </c>
      <c r="BQ130" s="23">
        <f>EXP(-LN(2)/25)*BQ129+(1-EXP(-LN(2)/25))/(LN(2)/25)*Calculateur!BL130*Calculateur!BN130*VLOOKUP('Données projet'!$B$11,Paramètres!$A$1:$I$89,3,0)*0.475*44/12</f>
        <v>0.38758702688720131</v>
      </c>
      <c r="BR130" s="23">
        <f>EXP(-LN(2)/2)*BR129+(1-EXP(-LN(2)/2))/(LN(2)/2)*BL130*BO130*VLOOKUP('Données projet'!$B$11,Paramètres!$A$1:$I$89,3,0)*0.475*44/12</f>
        <v>5.8139796271615774E-15</v>
      </c>
      <c r="BS130" s="24">
        <f t="shared" si="63"/>
        <v>0.82806298618788565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-1.4897523215040565E-13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211.95495599943246</v>
      </c>
      <c r="CE130" s="62">
        <f t="shared" si="94"/>
        <v>270.47407508916842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0.36510311737904694</v>
      </c>
      <c r="CL130" s="23">
        <f>EXP(-LN(2)/25)*CL129+(1-EXP(-LN(2)/25))/(LN(2)/25)*Calculateur!CG130*Calculateur!CI130*VLOOKUP('Données projet'!$B$12,Paramètres!$A$1:$I$89,3,0)*0.475*44/12</f>
        <v>1.1630327074782252</v>
      </c>
      <c r="CM130" s="23">
        <f>EXP(-LN(2)/2)*CM129+(1-EXP(-LN(2)/2))/(LN(2)/2)*CG130*CJ130*VLOOKUP('Données projet'!$B$12,Paramètres!$A$1:$I$89,3,0)*0.475*44/12</f>
        <v>3.1721872385528441E-14</v>
      </c>
      <c r="CN130" s="24">
        <f t="shared" si="66"/>
        <v>1.5281358248573038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-4.5474735088646412E-13</v>
      </c>
      <c r="O131" s="14">
        <f>N131*VLOOKUP('Données projet'!$B$9,Paramètres!$A$1:$I$89,3,0)*VLOOKUP('Données projet'!$B$9,Paramètres!$A$1:$I$89,5,0)</f>
        <v>-2.5420376914553347E-13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446.5364328843699</v>
      </c>
      <c r="T131" s="62">
        <f t="shared" si="88"/>
        <v>559.96606361482179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0.78497271513791655</v>
      </c>
      <c r="AA131" s="23">
        <f>EXP(-LN(2)/25)*AA130+(1-EXP(-LN(2)/25))/(LN(2)/25)*Calculateur!V131*Calculateur!X131*VLOOKUP('Données projet'!$B$9,Paramètres!$A$1:$I$89,3,0)*0.475*44/12</f>
        <v>0.71154871287220656</v>
      </c>
      <c r="AB131" s="23">
        <f>EXP(-LN(2)/2)*AB130+(1-EXP(-LN(2)/2))/(LN(2)/2)*V131*Y131*VLOOKUP('Données projet'!$B$9,Paramètres!$A$1:$I$89,3,0)*0.475*44/12</f>
        <v>2.3255811262515349E-14</v>
      </c>
      <c r="AC131" s="24">
        <f t="shared" si="57"/>
        <v>1.4965214280101464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-3.1036506698001178E-14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164.0740581424559</v>
      </c>
      <c r="AO131" s="62">
        <f t="shared" si="90"/>
        <v>280.99861170359793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2.3536092464447953</v>
      </c>
      <c r="AV131" s="23">
        <f>EXP(-LN(2)/25)*AV130+(1-EXP(-LN(2)/25))/(LN(2)/25)*Calculateur!AQ131*Calculateur!AS131*VLOOKUP('Données projet'!$B$10,Paramètres!$A$1:$I$89,3,0)*0.475*44/12</f>
        <v>2.511711374890349</v>
      </c>
      <c r="AW131" s="23">
        <f>EXP(-LN(2)/2)*AW130+(1-EXP(-LN(2)/2))/(LN(2)/2)*AQ131*AT131*VLOOKUP('Données projet'!$B$10,Paramètres!$A$1:$I$89,3,0)*0.475*44/12</f>
        <v>2.9020111000487186E-14</v>
      </c>
      <c r="AX131" s="23">
        <f t="shared" si="60"/>
        <v>4.8653206213351732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8.5265128291212022E-14</v>
      </c>
      <c r="BE131" s="14">
        <f>BD131*VLOOKUP('Données projet'!$B$11,Paramètres!$A$1:$I$89,3,0)*VLOOKUP('Données projet'!$B$11,Paramètres!$A$1:$I$89,5,0)</f>
        <v>3.990408004028723E-14</v>
      </c>
      <c r="BF131" s="14">
        <f t="shared" si="91"/>
        <v>6.6713074187844705E-13</v>
      </c>
      <c r="BG131" s="22">
        <f t="shared" si="61"/>
        <v>1.2314189815084623E-12</v>
      </c>
      <c r="BH131" s="62">
        <f t="shared" si="62"/>
        <v>293.33333333333456</v>
      </c>
      <c r="BI131" s="62">
        <f ca="1">AVERAGE(OFFSET($BH$3,0,0,'Données projet'!$E$11+1,1))-AVERAGE(OFFSET($H$3,0,0,'Données projet'!$E$11+1,1))</f>
        <v>90.829393941874685</v>
      </c>
      <c r="BJ131" s="62">
        <f t="shared" si="92"/>
        <v>113.5315547498717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0.43183849440259914</v>
      </c>
      <c r="BQ131" s="23">
        <f>EXP(-LN(2)/25)*BQ130+(1-EXP(-LN(2)/25))/(LN(2)/25)*Calculateur!BL131*Calculateur!BN131*VLOOKUP('Données projet'!$B$11,Paramètres!$A$1:$I$89,3,0)*0.475*44/12</f>
        <v>0.37698843925465492</v>
      </c>
      <c r="BR131" s="23">
        <f>EXP(-LN(2)/2)*BR130+(1-EXP(-LN(2)/2))/(LN(2)/2)*BL131*BO131*VLOOKUP('Données projet'!$B$11,Paramètres!$A$1:$I$89,3,0)*0.475*44/12</f>
        <v>4.1111044200463867E-15</v>
      </c>
      <c r="BS131" s="24">
        <f t="shared" si="63"/>
        <v>0.80882693365725811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-1.4897523215040565E-13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211.95495599943246</v>
      </c>
      <c r="CE131" s="62">
        <f t="shared" si="94"/>
        <v>270.47407508916842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0.35794366793815652</v>
      </c>
      <c r="CL131" s="23">
        <f>EXP(-LN(2)/25)*CL130+(1-EXP(-LN(2)/25))/(LN(2)/25)*Calculateur!CG131*Calculateur!CI131*VLOOKUP('Données projet'!$B$12,Paramètres!$A$1:$I$89,3,0)*0.475*44/12</f>
        <v>1.1312295169310012</v>
      </c>
      <c r="CM131" s="23">
        <f>EXP(-LN(2)/2)*CM130+(1-EXP(-LN(2)/2))/(LN(2)/2)*CG131*CJ131*VLOOKUP('Données projet'!$B$12,Paramètres!$A$1:$I$89,3,0)*0.475*44/12</f>
        <v>2.2430751075741444E-14</v>
      </c>
      <c r="CN131" s="24">
        <f t="shared" si="66"/>
        <v>1.48917318486918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-4.5474735088646412E-13</v>
      </c>
      <c r="O132" s="14">
        <f>N132*VLOOKUP('Données projet'!$B$9,Paramètres!$A$1:$I$89,3,0)*VLOOKUP('Données projet'!$B$9,Paramètres!$A$1:$I$89,5,0)</f>
        <v>-2.5420376914553347E-13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446.5364328843699</v>
      </c>
      <c r="T132" s="62">
        <f t="shared" si="88"/>
        <v>559.96606361482179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0.76957987898014202</v>
      </c>
      <c r="AA132" s="23">
        <f>EXP(-LN(2)/25)*AA131+(1-EXP(-LN(2)/25))/(LN(2)/25)*Calculateur!V132*Calculateur!X132*VLOOKUP('Données projet'!$B$9,Paramètres!$A$1:$I$89,3,0)*0.475*44/12</f>
        <v>0.69209137589999548</v>
      </c>
      <c r="AB132" s="23">
        <f>EXP(-LN(2)/2)*AB131+(1-EXP(-LN(2)/2))/(LN(2)/2)*V132*Y132*VLOOKUP('Données projet'!$B$9,Paramètres!$A$1:$I$89,3,0)*0.475*44/12</f>
        <v>1.6444341845719088E-14</v>
      </c>
      <c r="AC132" s="24">
        <f t="shared" ref="AC132:AC153" si="111">SUM(Z132:AB132)</f>
        <v>1.4616712548801538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-3.1036506698001178E-14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164.0740581424559</v>
      </c>
      <c r="AO132" s="62">
        <f t="shared" si="90"/>
        <v>280.99861170359793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2.3074564046819033</v>
      </c>
      <c r="AV132" s="23">
        <f>EXP(-LN(2)/25)*AV131+(1-EXP(-LN(2)/25))/(LN(2)/25)*Calculateur!AQ132*Calculateur!AS132*VLOOKUP('Données projet'!$B$10,Paramètres!$A$1:$I$89,3,0)*0.475*44/12</f>
        <v>2.4430284952588117</v>
      </c>
      <c r="AW132" s="23">
        <f>EXP(-LN(2)/2)*AW131+(1-EXP(-LN(2)/2))/(LN(2)/2)*AQ132*AT132*VLOOKUP('Données projet'!$B$10,Paramètres!$A$1:$I$89,3,0)*0.475*44/12</f>
        <v>2.0520317279230813E-14</v>
      </c>
      <c r="AX132" s="23">
        <f t="shared" ref="AX132:AX153" si="114">SUM(AU132:AW132)</f>
        <v>4.7504848999407354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8.5265128291212022E-14</v>
      </c>
      <c r="BE132" s="14">
        <f>BD132*VLOOKUP('Données projet'!$B$11,Paramètres!$A$1:$I$89,3,0)*VLOOKUP('Données projet'!$B$11,Paramètres!$A$1:$I$89,5,0)</f>
        <v>3.990408004028723E-14</v>
      </c>
      <c r="BF132" s="14">
        <f t="shared" si="91"/>
        <v>6.6713074187844705E-13</v>
      </c>
      <c r="BG132" s="22">
        <f t="shared" ref="BG132:BG153" si="115">(BE132+BF132)*0.475*44/12</f>
        <v>1.2314189815084623E-12</v>
      </c>
      <c r="BH132" s="62">
        <f t="shared" ref="BH132:BH195" si="116">BG132+(AY132+AZ132)*44/12</f>
        <v>293.33333333333456</v>
      </c>
      <c r="BI132" s="62">
        <f ca="1">AVERAGE(OFFSET($BH$3,0,0,'Données projet'!$E$11+1,1))-AVERAGE(OFFSET($H$3,0,0,'Données projet'!$E$11+1,1))</f>
        <v>90.829393941874685</v>
      </c>
      <c r="BJ132" s="62">
        <f t="shared" si="92"/>
        <v>113.5315547498717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0.42337040492283762</v>
      </c>
      <c r="BQ132" s="23">
        <f>EXP(-LN(2)/25)*BQ131+(1-EXP(-LN(2)/25))/(LN(2)/25)*Calculateur!BL132*Calculateur!BN132*VLOOKUP('Données projet'!$B$11,Paramètres!$A$1:$I$89,3,0)*0.475*44/12</f>
        <v>0.36667967055827599</v>
      </c>
      <c r="BR132" s="23">
        <f>EXP(-LN(2)/2)*BR131+(1-EXP(-LN(2)/2))/(LN(2)/2)*BL132*BO132*VLOOKUP('Données projet'!$B$11,Paramètres!$A$1:$I$89,3,0)*0.475*44/12</f>
        <v>2.9069898135807887E-15</v>
      </c>
      <c r="BS132" s="24">
        <f t="shared" ref="BS132:BS153" si="117">SUM(BP132:BR132)</f>
        <v>0.7900500754811165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-1.4897523215040565E-13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211.95495599943246</v>
      </c>
      <c r="CE132" s="62">
        <f t="shared" si="94"/>
        <v>270.47407508916842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0.35092461093396898</v>
      </c>
      <c r="CL132" s="23">
        <f>EXP(-LN(2)/25)*CL131+(1-EXP(-LN(2)/25))/(LN(2)/25)*Calculateur!CG132*Calculateur!CI132*VLOOKUP('Données projet'!$B$12,Paramètres!$A$1:$I$89,3,0)*0.475*44/12</f>
        <v>1.1002959863017481</v>
      </c>
      <c r="CM132" s="23">
        <f>EXP(-LN(2)/2)*CM131+(1-EXP(-LN(2)/2))/(LN(2)/2)*CG132*CJ132*VLOOKUP('Données projet'!$B$12,Paramètres!$A$1:$I$89,3,0)*0.475*44/12</f>
        <v>1.5860936192764221E-14</v>
      </c>
      <c r="CN132" s="24">
        <f t="shared" ref="CN132:CN153" si="120">SUM(CK132:CM132)</f>
        <v>1.4512205972357328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-4.5474735088646412E-13</v>
      </c>
      <c r="O133" s="14">
        <f>N133*VLOOKUP('Données projet'!$B$9,Paramètres!$A$1:$I$89,3,0)*VLOOKUP('Données projet'!$B$9,Paramètres!$A$1:$I$89,5,0)</f>
        <v>-2.5420376914553347E-13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446.5364328843699</v>
      </c>
      <c r="T133" s="62">
        <f t="shared" ref="T133:T196" si="142">$T$3</f>
        <v>559.96606361482179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0.75448888695071847</v>
      </c>
      <c r="AA133" s="23">
        <f>EXP(-LN(2)/25)*AA132+(1-EXP(-LN(2)/25))/(LN(2)/25)*Calculateur!V133*Calculateur!X133*VLOOKUP('Données projet'!$B$9,Paramètres!$A$1:$I$89,3,0)*0.475*44/12</f>
        <v>0.67316610083050643</v>
      </c>
      <c r="AB133" s="23">
        <f>EXP(-LN(2)/2)*AB132+(1-EXP(-LN(2)/2))/(LN(2)/2)*V133*Y133*VLOOKUP('Données projet'!$B$9,Paramètres!$A$1:$I$89,3,0)*0.475*44/12</f>
        <v>1.1627905631257675E-14</v>
      </c>
      <c r="AC133" s="24">
        <f t="shared" si="111"/>
        <v>1.4276549877812363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-3.1036506698001178E-14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164.0740581424559</v>
      </c>
      <c r="AO133" s="62">
        <f t="shared" ref="AO133:AO196" si="144">$AO$3</f>
        <v>280.99861170359793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2.2622085919955279</v>
      </c>
      <c r="AV133" s="23">
        <f>EXP(-LN(2)/25)*AV132+(1-EXP(-LN(2)/25))/(LN(2)/25)*Calculateur!AQ133*Calculateur!AS133*VLOOKUP('Données projet'!$B$10,Paramètres!$A$1:$I$89,3,0)*0.475*44/12</f>
        <v>2.3762237525826744</v>
      </c>
      <c r="AW133" s="23">
        <f>EXP(-LN(2)/2)*AW132+(1-EXP(-LN(2)/2))/(LN(2)/2)*AQ133*AT133*VLOOKUP('Données projet'!$B$10,Paramètres!$A$1:$I$89,3,0)*0.475*44/12</f>
        <v>1.4510055500243593E-14</v>
      </c>
      <c r="AX133" s="23">
        <f t="shared" si="114"/>
        <v>4.6384323445782165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8.5265128291212022E-14</v>
      </c>
      <c r="BE133" s="14">
        <f>BD133*VLOOKUP('Données projet'!$B$11,Paramètres!$A$1:$I$89,3,0)*VLOOKUP('Données projet'!$B$11,Paramètres!$A$1:$I$89,5,0)</f>
        <v>3.990408004028723E-14</v>
      </c>
      <c r="BF133" s="14">
        <f t="shared" ref="BF133:BF153" si="145">EXP(-1.0587+0.8836*LN(BE133)+0.284)</f>
        <v>6.6713074187844705E-13</v>
      </c>
      <c r="BG133" s="22">
        <f t="shared" si="115"/>
        <v>1.2314189815084623E-12</v>
      </c>
      <c r="BH133" s="62">
        <f t="shared" si="116"/>
        <v>293.33333333333456</v>
      </c>
      <c r="BI133" s="62">
        <f ca="1">AVERAGE(OFFSET($BH$3,0,0,'Données projet'!$E$11+1,1))-AVERAGE(OFFSET($H$3,0,0,'Données projet'!$E$11+1,1))</f>
        <v>90.829393941874685</v>
      </c>
      <c r="BJ133" s="62">
        <f t="shared" ref="BJ133:BJ196" si="146">$BJ$3</f>
        <v>113.5315547498717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0.41506836951274961</v>
      </c>
      <c r="BQ133" s="23">
        <f>EXP(-LN(2)/25)*BQ132+(1-EXP(-LN(2)/25))/(LN(2)/25)*Calculateur!BL133*Calculateur!BN133*VLOOKUP('Données projet'!$B$11,Paramètres!$A$1:$I$89,3,0)*0.475*44/12</f>
        <v>0.35665279568401415</v>
      </c>
      <c r="BR133" s="23">
        <f>EXP(-LN(2)/2)*BR132+(1-EXP(-LN(2)/2))/(LN(2)/2)*BL133*BO133*VLOOKUP('Données projet'!$B$11,Paramètres!$A$1:$I$89,3,0)*0.475*44/12</f>
        <v>2.0555522100231933E-15</v>
      </c>
      <c r="BS133" s="24">
        <f t="shared" si="117"/>
        <v>0.77172116519676581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-1.4897523215040565E-13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211.95495599943246</v>
      </c>
      <c r="CE133" s="62">
        <f t="shared" ref="CE133:CE196" si="148">$CE$3</f>
        <v>270.47407508916842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0.34404319335643152</v>
      </c>
      <c r="CL133" s="23">
        <f>EXP(-LN(2)/25)*CL132+(1-EXP(-LN(2)/25))/(LN(2)/25)*Calculateur!CG133*Calculateur!CI133*VLOOKUP('Données projet'!$B$12,Paramètres!$A$1:$I$89,3,0)*0.475*44/12</f>
        <v>1.0702083346942757</v>
      </c>
      <c r="CM133" s="23">
        <f>EXP(-LN(2)/2)*CM132+(1-EXP(-LN(2)/2))/(LN(2)/2)*CG133*CJ133*VLOOKUP('Données projet'!$B$12,Paramètres!$A$1:$I$89,3,0)*0.475*44/12</f>
        <v>1.1215375537870722E-14</v>
      </c>
      <c r="CN133" s="24">
        <f t="shared" si="120"/>
        <v>1.4142515280507186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-4.5474735088646412E-13</v>
      </c>
      <c r="O134" s="14">
        <f>N134*VLOOKUP('Données projet'!$B$9,Paramètres!$A$1:$I$89,3,0)*VLOOKUP('Données projet'!$B$9,Paramètres!$A$1:$I$89,5,0)</f>
        <v>-2.5420376914553347E-13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446.5364328843699</v>
      </c>
      <c r="T134" s="62">
        <f t="shared" si="142"/>
        <v>559.96606361482179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0.73969382007039564</v>
      </c>
      <c r="AA134" s="23">
        <f>EXP(-LN(2)/25)*AA133+(1-EXP(-LN(2)/25))/(LN(2)/25)*Calculateur!V134*Calculateur!X134*VLOOKUP('Données projet'!$B$9,Paramètres!$A$1:$I$89,3,0)*0.475*44/12</f>
        <v>0.65475833840302955</v>
      </c>
      <c r="AB134" s="23">
        <f>EXP(-LN(2)/2)*AB133+(1-EXP(-LN(2)/2))/(LN(2)/2)*V134*Y134*VLOOKUP('Données projet'!$B$9,Paramètres!$A$1:$I$89,3,0)*0.475*44/12</f>
        <v>8.2221709228595441E-15</v>
      </c>
      <c r="AC134" s="24">
        <f t="shared" si="111"/>
        <v>1.3944521584734335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-3.1036506698001178E-14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164.0740581424559</v>
      </c>
      <c r="AO134" s="62">
        <f t="shared" si="144"/>
        <v>280.99861170359793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2.2178480613174916</v>
      </c>
      <c r="AV134" s="23">
        <f>EXP(-LN(2)/25)*AV133+(1-EXP(-LN(2)/25))/(LN(2)/25)*Calculateur!AQ134*Calculateur!AS134*VLOOKUP('Données projet'!$B$10,Paramètres!$A$1:$I$89,3,0)*0.475*44/12</f>
        <v>2.3112457891081251</v>
      </c>
      <c r="AW134" s="23">
        <f>EXP(-LN(2)/2)*AW133+(1-EXP(-LN(2)/2))/(LN(2)/2)*AQ134*AT134*VLOOKUP('Données projet'!$B$10,Paramètres!$A$1:$I$89,3,0)*0.475*44/12</f>
        <v>1.0260158639615407E-14</v>
      </c>
      <c r="AX134" s="23">
        <f t="shared" si="114"/>
        <v>4.5290938504256273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8.5265128291212022E-14</v>
      </c>
      <c r="BE134" s="14">
        <f>BD134*VLOOKUP('Données projet'!$B$11,Paramètres!$A$1:$I$89,3,0)*VLOOKUP('Données projet'!$B$11,Paramètres!$A$1:$I$89,5,0)</f>
        <v>3.990408004028723E-14</v>
      </c>
      <c r="BF134" s="14">
        <f t="shared" si="145"/>
        <v>6.6713074187844705E-13</v>
      </c>
      <c r="BG134" s="22">
        <f t="shared" si="115"/>
        <v>1.2314189815084623E-12</v>
      </c>
      <c r="BH134" s="62">
        <f t="shared" si="116"/>
        <v>293.33333333333456</v>
      </c>
      <c r="BI134" s="62">
        <f ca="1">AVERAGE(OFFSET($BH$3,0,0,'Données projet'!$E$11+1,1))-AVERAGE(OFFSET($H$3,0,0,'Données projet'!$E$11+1,1))</f>
        <v>90.829393941874685</v>
      </c>
      <c r="BJ134" s="62">
        <f t="shared" si="146"/>
        <v>113.5315547498717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0.40692913195331187</v>
      </c>
      <c r="BQ134" s="23">
        <f>EXP(-LN(2)/25)*BQ133+(1-EXP(-LN(2)/25))/(LN(2)/25)*Calculateur!BL134*Calculateur!BN134*VLOOKUP('Données projet'!$B$11,Paramètres!$A$1:$I$89,3,0)*0.475*44/12</f>
        <v>0.3469001062304794</v>
      </c>
      <c r="BR134" s="23">
        <f>EXP(-LN(2)/2)*BR133+(1-EXP(-LN(2)/2))/(LN(2)/2)*BL134*BO134*VLOOKUP('Données projet'!$B$11,Paramètres!$A$1:$I$89,3,0)*0.475*44/12</f>
        <v>1.4534949067903944E-15</v>
      </c>
      <c r="BS134" s="24">
        <f t="shared" si="117"/>
        <v>0.75382923818379266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-1.4897523215040565E-13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211.95495599943246</v>
      </c>
      <c r="CE134" s="62">
        <f t="shared" si="148"/>
        <v>270.47407508916842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0.3372967161803393</v>
      </c>
      <c r="CL134" s="23">
        <f>EXP(-LN(2)/25)*CL133+(1-EXP(-LN(2)/25))/(LN(2)/25)*Calculateur!CG134*Calculateur!CI134*VLOOKUP('Données projet'!$B$12,Paramètres!$A$1:$I$89,3,0)*0.475*44/12</f>
        <v>1.0409434315022503</v>
      </c>
      <c r="CM134" s="23">
        <f>EXP(-LN(2)/2)*CM133+(1-EXP(-LN(2)/2))/(LN(2)/2)*CG134*CJ134*VLOOKUP('Données projet'!$B$12,Paramètres!$A$1:$I$89,3,0)*0.475*44/12</f>
        <v>7.9304680963821103E-15</v>
      </c>
      <c r="CN134" s="24">
        <f t="shared" si="120"/>
        <v>1.3782401476825976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-2.5420376914553347E-13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446.5364328843699</v>
      </c>
      <c r="T135" s="62">
        <f t="shared" si="142"/>
        <v>559.96606361482179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0.72518887542749622</v>
      </c>
      <c r="AA135" s="23">
        <f>EXP(-LN(2)/25)*AA134+(1-EXP(-LN(2)/25))/(LN(2)/25)*Calculateur!V135*Calculateur!X135*VLOOKUP('Données projet'!$B$9,Paramètres!$A$1:$I$89,3,0)*0.475*44/12</f>
        <v>0.63685393720715411</v>
      </c>
      <c r="AB135" s="23">
        <f>EXP(-LN(2)/2)*AB134+(1-EXP(-LN(2)/2))/(LN(2)/2)*V135*Y135*VLOOKUP('Données projet'!$B$9,Paramètres!$A$1:$I$89,3,0)*0.475*44/12</f>
        <v>5.8139528156288373E-15</v>
      </c>
      <c r="AC135" s="24">
        <f t="shared" si="111"/>
        <v>1.3620428126346562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-3.1036506698001178E-14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164.0740581424559</v>
      </c>
      <c r="AO135" s="62">
        <f t="shared" si="144"/>
        <v>280.99861170359793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2.1743574135887997</v>
      </c>
      <c r="AV135" s="23">
        <f>EXP(-LN(2)/25)*AV134+(1-EXP(-LN(2)/25))/(LN(2)/25)*Calculateur!AQ135*Calculateur!AS135*VLOOKUP('Données projet'!$B$10,Paramètres!$A$1:$I$89,3,0)*0.475*44/12</f>
        <v>2.24804465146183</v>
      </c>
      <c r="AW135" s="23">
        <f>EXP(-LN(2)/2)*AW134+(1-EXP(-LN(2)/2))/(LN(2)/2)*AQ135*AT135*VLOOKUP('Données projet'!$B$10,Paramètres!$A$1:$I$89,3,0)*0.475*44/12</f>
        <v>7.2550277501217965E-15</v>
      </c>
      <c r="AX135" s="23">
        <f t="shared" si="114"/>
        <v>4.4224020650506368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8.5265128291212022E-14</v>
      </c>
      <c r="BE135" s="14">
        <f>BD135*VLOOKUP('Données projet'!$B$11,Paramètres!$A$1:$I$89,3,0)*VLOOKUP('Données projet'!$B$11,Paramètres!$A$1:$I$89,5,0)</f>
        <v>3.990408004028723E-14</v>
      </c>
      <c r="BF135" s="14">
        <f t="shared" si="145"/>
        <v>6.6713074187844705E-13</v>
      </c>
      <c r="BG135" s="22">
        <f t="shared" si="115"/>
        <v>1.2314189815084623E-12</v>
      </c>
      <c r="BH135" s="62">
        <f t="shared" si="116"/>
        <v>293.33333333333456</v>
      </c>
      <c r="BI135" s="62">
        <f ca="1">AVERAGE(OFFSET($BH$3,0,0,'Données projet'!$E$11+1,1))-AVERAGE(OFFSET($H$3,0,0,'Données projet'!$E$11+1,1))</f>
        <v>90.829393941874685</v>
      </c>
      <c r="BJ135" s="62">
        <f t="shared" si="146"/>
        <v>113.5315547498717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0.39894949987796996</v>
      </c>
      <c r="BQ135" s="23">
        <f>EXP(-LN(2)/25)*BQ134+(1-EXP(-LN(2)/25))/(LN(2)/25)*Calculateur!BL135*Calculateur!BN135*VLOOKUP('Données projet'!$B$11,Paramètres!$A$1:$I$89,3,0)*0.475*44/12</f>
        <v>0.3374141045829232</v>
      </c>
      <c r="BR135" s="23">
        <f>EXP(-LN(2)/2)*BR134+(1-EXP(-LN(2)/2))/(LN(2)/2)*BL135*BO135*VLOOKUP('Données projet'!$B$11,Paramètres!$A$1:$I$89,3,0)*0.475*44/12</f>
        <v>1.0277761050115967E-15</v>
      </c>
      <c r="BS135" s="24">
        <f t="shared" si="117"/>
        <v>0.73636360446089422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-1.4897523215040565E-13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211.95495599943246</v>
      </c>
      <c r="CE135" s="62">
        <f t="shared" si="148"/>
        <v>270.47407508916842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0.33068253330672548</v>
      </c>
      <c r="CL135" s="23">
        <f>EXP(-LN(2)/25)*CL134+(1-EXP(-LN(2)/25))/(LN(2)/25)*Calculateur!CG135*Calculateur!CI135*VLOOKUP('Données projet'!$B$12,Paramètres!$A$1:$I$89,3,0)*0.475*44/12</f>
        <v>1.0124787786269853</v>
      </c>
      <c r="CM135" s="23">
        <f>EXP(-LN(2)/2)*CM134+(1-EXP(-LN(2)/2))/(LN(2)/2)*CG135*CJ135*VLOOKUP('Données projet'!$B$12,Paramètres!$A$1:$I$89,3,0)*0.475*44/12</f>
        <v>5.607687768935361E-15</v>
      </c>
      <c r="CN135" s="24">
        <f t="shared" si="120"/>
        <v>1.3431613119337162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-2.5420376914553347E-13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446.5364328843699</v>
      </c>
      <c r="T136" s="62">
        <f t="shared" si="142"/>
        <v>559.96606361482179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0.71096836390190143</v>
      </c>
      <c r="AA136" s="23">
        <f>EXP(-LN(2)/25)*AA135+(1-EXP(-LN(2)/25))/(LN(2)/25)*Calculateur!V136*Calculateur!X136*VLOOKUP('Données projet'!$B$9,Paramètres!$A$1:$I$89,3,0)*0.475*44/12</f>
        <v>0.61943913280353147</v>
      </c>
      <c r="AB136" s="23">
        <f>EXP(-LN(2)/2)*AB135+(1-EXP(-LN(2)/2))/(LN(2)/2)*V136*Y136*VLOOKUP('Données projet'!$B$9,Paramètres!$A$1:$I$89,3,0)*0.475*44/12</f>
        <v>4.1110854614297721E-15</v>
      </c>
      <c r="AC136" s="24">
        <f t="shared" si="111"/>
        <v>1.3304074967054371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-3.1036506698001178E-14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164.0740581424559</v>
      </c>
      <c r="AO136" s="62">
        <f t="shared" si="144"/>
        <v>280.99861170359793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2.1317195909353917</v>
      </c>
      <c r="AV136" s="23">
        <f>EXP(-LN(2)/25)*AV135+(1-EXP(-LN(2)/25))/(LN(2)/25)*Calculateur!AQ136*Calculateur!AS136*VLOOKUP('Données projet'!$B$10,Paramètres!$A$1:$I$89,3,0)*0.475*44/12</f>
        <v>2.1865717522480761</v>
      </c>
      <c r="AW136" s="23">
        <f>EXP(-LN(2)/2)*AW135+(1-EXP(-LN(2)/2))/(LN(2)/2)*AQ136*AT136*VLOOKUP('Données projet'!$B$10,Paramètres!$A$1:$I$89,3,0)*0.475*44/12</f>
        <v>5.1300793198077034E-15</v>
      </c>
      <c r="AX136" s="23">
        <f t="shared" si="114"/>
        <v>4.3182913431834731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8.5265128291212022E-14</v>
      </c>
      <c r="BE136" s="14">
        <f>BD136*VLOOKUP('Données projet'!$B$11,Paramètres!$A$1:$I$89,3,0)*VLOOKUP('Données projet'!$B$11,Paramètres!$A$1:$I$89,5,0)</f>
        <v>3.990408004028723E-14</v>
      </c>
      <c r="BF136" s="14">
        <f t="shared" si="145"/>
        <v>6.6713074187844705E-13</v>
      </c>
      <c r="BG136" s="22">
        <f t="shared" si="115"/>
        <v>1.2314189815084623E-12</v>
      </c>
      <c r="BH136" s="62">
        <f t="shared" si="116"/>
        <v>293.33333333333456</v>
      </c>
      <c r="BI136" s="62">
        <f ca="1">AVERAGE(OFFSET($BH$3,0,0,'Données projet'!$E$11+1,1))-AVERAGE(OFFSET($H$3,0,0,'Données projet'!$E$11+1,1))</f>
        <v>90.829393941874685</v>
      </c>
      <c r="BJ136" s="62">
        <f t="shared" si="146"/>
        <v>113.5315547498717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0.39112634352053055</v>
      </c>
      <c r="BQ136" s="23">
        <f>EXP(-LN(2)/25)*BQ135+(1-EXP(-LN(2)/25))/(LN(2)/25)*Calculateur!BL136*Calculateur!BN136*VLOOKUP('Données projet'!$B$11,Paramètres!$A$1:$I$89,3,0)*0.475*44/12</f>
        <v>0.32818749814926657</v>
      </c>
      <c r="BR136" s="23">
        <f>EXP(-LN(2)/2)*BR135+(1-EXP(-LN(2)/2))/(LN(2)/2)*BL136*BO136*VLOOKUP('Données projet'!$B$11,Paramètres!$A$1:$I$89,3,0)*0.475*44/12</f>
        <v>7.2674745339519718E-16</v>
      </c>
      <c r="BS136" s="24">
        <f t="shared" si="117"/>
        <v>0.71931384166979784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-1.4897523215040565E-13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211.95495599943246</v>
      </c>
      <c r="CE136" s="62">
        <f t="shared" si="148"/>
        <v>270.47407508916842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0.32419805052501005</v>
      </c>
      <c r="CL136" s="23">
        <f>EXP(-LN(2)/25)*CL135+(1-EXP(-LN(2)/25))/(LN(2)/25)*Calculateur!CG136*Calculateur!CI136*VLOOKUP('Données projet'!$B$12,Paramètres!$A$1:$I$89,3,0)*0.475*44/12</f>
        <v>0.98479249318148554</v>
      </c>
      <c r="CM136" s="23">
        <f>EXP(-LN(2)/2)*CM135+(1-EXP(-LN(2)/2))/(LN(2)/2)*CG136*CJ136*VLOOKUP('Données projet'!$B$12,Paramètres!$A$1:$I$89,3,0)*0.475*44/12</f>
        <v>3.9652340481910552E-15</v>
      </c>
      <c r="CN136" s="24">
        <f t="shared" si="120"/>
        <v>1.3089905437064995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-2.5420376914553347E-13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446.5364328843699</v>
      </c>
      <c r="T137" s="62">
        <f t="shared" si="142"/>
        <v>559.96606361482179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0.69702670793366794</v>
      </c>
      <c r="AA137" s="23">
        <f>EXP(-LN(2)/25)*AA136+(1-EXP(-LN(2)/25))/(LN(2)/25)*Calculateur!V137*Calculateur!X137*VLOOKUP('Données projet'!$B$9,Paramètres!$A$1:$I$89,3,0)*0.475*44/12</f>
        <v>0.6025005371421307</v>
      </c>
      <c r="AB137" s="23">
        <f>EXP(-LN(2)/2)*AB136+(1-EXP(-LN(2)/2))/(LN(2)/2)*V137*Y137*VLOOKUP('Données projet'!$B$9,Paramètres!$A$1:$I$89,3,0)*0.475*44/12</f>
        <v>2.9069764078144187E-15</v>
      </c>
      <c r="AC137" s="24">
        <f t="shared" si="111"/>
        <v>1.2995272450758015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-3.1036506698001178E-14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164.0740581424559</v>
      </c>
      <c r="AO137" s="62">
        <f t="shared" si="144"/>
        <v>280.99861170359793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2.0899178699777128</v>
      </c>
      <c r="AV137" s="23">
        <f>EXP(-LN(2)/25)*AV136+(1-EXP(-LN(2)/25))/(LN(2)/25)*Calculateur!AQ137*Calculateur!AS137*VLOOKUP('Données projet'!$B$10,Paramètres!$A$1:$I$89,3,0)*0.475*44/12</f>
        <v>2.1267798326960414</v>
      </c>
      <c r="AW137" s="23">
        <f>EXP(-LN(2)/2)*AW136+(1-EXP(-LN(2)/2))/(LN(2)/2)*AQ137*AT137*VLOOKUP('Données projet'!$B$10,Paramètres!$A$1:$I$89,3,0)*0.475*44/12</f>
        <v>3.6275138750608982E-15</v>
      </c>
      <c r="AX137" s="23">
        <f t="shared" si="114"/>
        <v>4.2166977026737573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8.5265128291212022E-14</v>
      </c>
      <c r="BE137" s="14">
        <f>BD137*VLOOKUP('Données projet'!$B$11,Paramètres!$A$1:$I$89,3,0)*VLOOKUP('Données projet'!$B$11,Paramètres!$A$1:$I$89,5,0)</f>
        <v>3.990408004028723E-14</v>
      </c>
      <c r="BF137" s="14">
        <f t="shared" si="145"/>
        <v>6.6713074187844705E-13</v>
      </c>
      <c r="BG137" s="22">
        <f t="shared" si="115"/>
        <v>1.2314189815084623E-12</v>
      </c>
      <c r="BH137" s="62">
        <f t="shared" si="116"/>
        <v>293.33333333333456</v>
      </c>
      <c r="BI137" s="62">
        <f ca="1">AVERAGE(OFFSET($BH$3,0,0,'Données projet'!$E$11+1,1))-AVERAGE(OFFSET($H$3,0,0,'Données projet'!$E$11+1,1))</f>
        <v>90.829393941874685</v>
      </c>
      <c r="BJ137" s="62">
        <f t="shared" si="146"/>
        <v>113.5315547498717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0.38345659448760633</v>
      </c>
      <c r="BQ137" s="23">
        <f>EXP(-LN(2)/25)*BQ136+(1-EXP(-LN(2)/25))/(LN(2)/25)*Calculateur!BL137*Calculateur!BN137*VLOOKUP('Données projet'!$B$11,Paramètres!$A$1:$I$89,3,0)*0.475*44/12</f>
        <v>0.31921319375374441</v>
      </c>
      <c r="BR137" s="23">
        <f>EXP(-LN(2)/2)*BR136+(1-EXP(-LN(2)/2))/(LN(2)/2)*BL137*BO137*VLOOKUP('Données projet'!$B$11,Paramètres!$A$1:$I$89,3,0)*0.475*44/12</f>
        <v>5.1388805250579833E-16</v>
      </c>
      <c r="BS137" s="24">
        <f t="shared" si="117"/>
        <v>0.70266978824135129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-1.4897523215040565E-13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211.95495599943246</v>
      </c>
      <c r="CE137" s="62">
        <f t="shared" si="148"/>
        <v>270.47407508916842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0.3178407244955001</v>
      </c>
      <c r="CL137" s="23">
        <f>EXP(-LN(2)/25)*CL136+(1-EXP(-LN(2)/25))/(LN(2)/25)*Calculateur!CG137*Calculateur!CI137*VLOOKUP('Données projet'!$B$12,Paramètres!$A$1:$I$89,3,0)*0.475*44/12</f>
        <v>0.95786329066745135</v>
      </c>
      <c r="CM137" s="23">
        <f>EXP(-LN(2)/2)*CM136+(1-EXP(-LN(2)/2))/(LN(2)/2)*CG137*CJ137*VLOOKUP('Données projet'!$B$12,Paramètres!$A$1:$I$89,3,0)*0.475*44/12</f>
        <v>2.8038438844676805E-15</v>
      </c>
      <c r="CN137" s="24">
        <f t="shared" si="120"/>
        <v>1.2757040151629544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-2.5420376914553347E-13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446.5364328843699</v>
      </c>
      <c r="T138" s="62">
        <f t="shared" si="142"/>
        <v>559.96606361482179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0.68335843933540108</v>
      </c>
      <c r="AA138" s="23">
        <f>EXP(-LN(2)/25)*AA137+(1-EXP(-LN(2)/25))/(LN(2)/25)*Calculateur!V138*Calculateur!X138*VLOOKUP('Données projet'!$B$9,Paramètres!$A$1:$I$89,3,0)*0.475*44/12</f>
        <v>0.58602512826985287</v>
      </c>
      <c r="AB138" s="23">
        <f>EXP(-LN(2)/2)*AB137+(1-EXP(-LN(2)/2))/(LN(2)/2)*V138*Y138*VLOOKUP('Données projet'!$B$9,Paramètres!$A$1:$I$89,3,0)*0.475*44/12</f>
        <v>2.055542730714886E-15</v>
      </c>
      <c r="AC138" s="24">
        <f t="shared" si="111"/>
        <v>1.2693835676052558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-3.1036506698001178E-14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164.0740581424559</v>
      </c>
      <c r="AO138" s="62">
        <f t="shared" si="144"/>
        <v>280.99861170359793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2.0489358552714818</v>
      </c>
      <c r="AV138" s="23">
        <f>EXP(-LN(2)/25)*AV137+(1-EXP(-LN(2)/25))/(LN(2)/25)*Calculateur!AQ138*Calculateur!AS138*VLOOKUP('Données projet'!$B$10,Paramètres!$A$1:$I$89,3,0)*0.475*44/12</f>
        <v>2.0686229263284774</v>
      </c>
      <c r="AW138" s="23">
        <f>EXP(-LN(2)/2)*AW137+(1-EXP(-LN(2)/2))/(LN(2)/2)*AQ138*AT138*VLOOKUP('Données projet'!$B$10,Paramètres!$A$1:$I$89,3,0)*0.475*44/12</f>
        <v>2.5650396599038517E-15</v>
      </c>
      <c r="AX138" s="23">
        <f t="shared" si="114"/>
        <v>4.1175587815999615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8.5265128291212022E-14</v>
      </c>
      <c r="BE138" s="14">
        <f>BD138*VLOOKUP('Données projet'!$B$11,Paramètres!$A$1:$I$89,3,0)*VLOOKUP('Données projet'!$B$11,Paramètres!$A$1:$I$89,5,0)</f>
        <v>3.990408004028723E-14</v>
      </c>
      <c r="BF138" s="14">
        <f t="shared" si="145"/>
        <v>6.6713074187844705E-13</v>
      </c>
      <c r="BG138" s="22">
        <f t="shared" si="115"/>
        <v>1.2314189815084623E-12</v>
      </c>
      <c r="BH138" s="62">
        <f t="shared" si="116"/>
        <v>293.33333333333456</v>
      </c>
      <c r="BI138" s="62">
        <f ca="1">AVERAGE(OFFSET($BH$3,0,0,'Données projet'!$E$11+1,1))-AVERAGE(OFFSET($H$3,0,0,'Données projet'!$E$11+1,1))</f>
        <v>90.829393941874685</v>
      </c>
      <c r="BJ138" s="62">
        <f t="shared" si="146"/>
        <v>113.5315547498717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0.37593724455513272</v>
      </c>
      <c r="BQ138" s="23">
        <f>EXP(-LN(2)/25)*BQ137+(1-EXP(-LN(2)/25))/(LN(2)/25)*Calculateur!BL138*Calculateur!BN138*VLOOKUP('Données projet'!$B$11,Paramètres!$A$1:$I$89,3,0)*0.475*44/12</f>
        <v>0.31048429218385598</v>
      </c>
      <c r="BR138" s="23">
        <f>EXP(-LN(2)/2)*BR137+(1-EXP(-LN(2)/2))/(LN(2)/2)*BL138*BO138*VLOOKUP('Données projet'!$B$11,Paramètres!$A$1:$I$89,3,0)*0.475*44/12</f>
        <v>3.6337372669759859E-16</v>
      </c>
      <c r="BS138" s="24">
        <f t="shared" si="117"/>
        <v>0.68642153673898909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-1.4897523215040565E-13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211.95495599943246</v>
      </c>
      <c r="CE138" s="62">
        <f t="shared" si="148"/>
        <v>270.47407508916842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0.31160806175184286</v>
      </c>
      <c r="CL138" s="23">
        <f>EXP(-LN(2)/25)*CL137+(1-EXP(-LN(2)/25))/(LN(2)/25)*Calculateur!CG138*Calculateur!CI138*VLOOKUP('Données projet'!$B$12,Paramètres!$A$1:$I$89,3,0)*0.475*44/12</f>
        <v>0.93167046861230862</v>
      </c>
      <c r="CM138" s="23">
        <f>EXP(-LN(2)/2)*CM137+(1-EXP(-LN(2)/2))/(LN(2)/2)*CG138*CJ138*VLOOKUP('Données projet'!$B$12,Paramètres!$A$1:$I$89,3,0)*0.475*44/12</f>
        <v>1.9826170240955276E-15</v>
      </c>
      <c r="CN138" s="24">
        <f t="shared" si="120"/>
        <v>1.2432785303641534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-2.5420376914553347E-13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446.5364328843699</v>
      </c>
      <c r="T139" s="62">
        <f t="shared" si="142"/>
        <v>559.96606361482179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0.66995819714752558</v>
      </c>
      <c r="AA139" s="23">
        <f>EXP(-LN(2)/25)*AA138+(1-EXP(-LN(2)/25))/(LN(2)/25)*Calculateur!V139*Calculateur!X139*VLOOKUP('Données projet'!$B$9,Paramètres!$A$1:$I$89,3,0)*0.475*44/12</f>
        <v>0.57000024031959162</v>
      </c>
      <c r="AB139" s="23">
        <f>EXP(-LN(2)/2)*AB138+(1-EXP(-LN(2)/2))/(LN(2)/2)*V139*Y139*VLOOKUP('Données projet'!$B$9,Paramètres!$A$1:$I$89,3,0)*0.475*44/12</f>
        <v>1.4534882039072093E-15</v>
      </c>
      <c r="AC139" s="24">
        <f t="shared" si="111"/>
        <v>1.2399584374671189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-3.1036506698001178E-14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164.0740581424559</v>
      </c>
      <c r="AO139" s="62">
        <f t="shared" si="144"/>
        <v>280.99861170359793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2.0087574728770794</v>
      </c>
      <c r="AV139" s="23">
        <f>EXP(-LN(2)/25)*AV138+(1-EXP(-LN(2)/25))/(LN(2)/25)*Calculateur!AQ139*Calculateur!AS139*VLOOKUP('Données projet'!$B$10,Paramètres!$A$1:$I$89,3,0)*0.475*44/12</f>
        <v>2.0120563236238733</v>
      </c>
      <c r="AW139" s="23">
        <f>EXP(-LN(2)/2)*AW138+(1-EXP(-LN(2)/2))/(LN(2)/2)*AQ139*AT139*VLOOKUP('Données projet'!$B$10,Paramètres!$A$1:$I$89,3,0)*0.475*44/12</f>
        <v>1.8137569375304491E-15</v>
      </c>
      <c r="AX139" s="23">
        <f t="shared" si="114"/>
        <v>4.0208137965009545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8.5265128291212022E-14</v>
      </c>
      <c r="BE139" s="14">
        <f>BD139*VLOOKUP('Données projet'!$B$11,Paramètres!$A$1:$I$89,3,0)*VLOOKUP('Données projet'!$B$11,Paramètres!$A$1:$I$89,5,0)</f>
        <v>3.990408004028723E-14</v>
      </c>
      <c r="BF139" s="14">
        <f t="shared" si="145"/>
        <v>6.6713074187844705E-13</v>
      </c>
      <c r="BG139" s="22">
        <f t="shared" si="115"/>
        <v>1.2314189815084623E-12</v>
      </c>
      <c r="BH139" s="62">
        <f t="shared" si="116"/>
        <v>293.33333333333456</v>
      </c>
      <c r="BI139" s="62">
        <f ca="1">AVERAGE(OFFSET($BH$3,0,0,'Données projet'!$E$11+1,1))-AVERAGE(OFFSET($H$3,0,0,'Données projet'!$E$11+1,1))</f>
        <v>90.829393941874685</v>
      </c>
      <c r="BJ139" s="62">
        <f t="shared" si="146"/>
        <v>113.5315547498717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0.36856534448848433</v>
      </c>
      <c r="BQ139" s="23">
        <f>EXP(-LN(2)/25)*BQ138+(1-EXP(-LN(2)/25))/(LN(2)/25)*Calculateur!BL139*Calculateur!BN139*VLOOKUP('Données projet'!$B$11,Paramètres!$A$1:$I$89,3,0)*0.475*44/12</f>
        <v>0.30199408288642915</v>
      </c>
      <c r="BR139" s="23">
        <f>EXP(-LN(2)/2)*BR138+(1-EXP(-LN(2)/2))/(LN(2)/2)*BL139*BO139*VLOOKUP('Données projet'!$B$11,Paramètres!$A$1:$I$89,3,0)*0.475*44/12</f>
        <v>2.5694402625289917E-16</v>
      </c>
      <c r="BS139" s="24">
        <f t="shared" si="117"/>
        <v>0.6705594273749137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-1.4897523215040565E-13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211.95495599943246</v>
      </c>
      <c r="CE139" s="62">
        <f t="shared" si="148"/>
        <v>270.47407508916842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0.30549761772303979</v>
      </c>
      <c r="CL139" s="23">
        <f>EXP(-LN(2)/25)*CL138+(1-EXP(-LN(2)/25))/(LN(2)/25)*Calculateur!CG139*Calculateur!CI139*VLOOKUP('Données projet'!$B$12,Paramètres!$A$1:$I$89,3,0)*0.475*44/12</f>
        <v>0.9061938906536845</v>
      </c>
      <c r="CM139" s="23">
        <f>EXP(-LN(2)/2)*CM138+(1-EXP(-LN(2)/2))/(LN(2)/2)*CG139*CJ139*VLOOKUP('Données projet'!$B$12,Paramètres!$A$1:$I$89,3,0)*0.475*44/12</f>
        <v>1.4019219422338403E-15</v>
      </c>
      <c r="CN139" s="24">
        <f t="shared" si="120"/>
        <v>1.2116915083767257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-2.5420376914553347E-13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446.5364328843699</v>
      </c>
      <c r="T140" s="62">
        <f t="shared" si="142"/>
        <v>559.96606361482179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0.65682072553561355</v>
      </c>
      <c r="AA140" s="23">
        <f>EXP(-LN(2)/25)*AA139+(1-EXP(-LN(2)/25))/(LN(2)/25)*Calculateur!V140*Calculateur!X140*VLOOKUP('Données projet'!$B$9,Paramètres!$A$1:$I$89,3,0)*0.475*44/12</f>
        <v>0.55441355377304247</v>
      </c>
      <c r="AB140" s="23">
        <f>EXP(-LN(2)/2)*AB139+(1-EXP(-LN(2)/2))/(LN(2)/2)*V140*Y140*VLOOKUP('Données projet'!$B$9,Paramètres!$A$1:$I$89,3,0)*0.475*44/12</f>
        <v>1.027771365357443E-15</v>
      </c>
      <c r="AC140" s="24">
        <f t="shared" si="111"/>
        <v>1.211234279308657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-3.1036506698001178E-14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164.0740581424559</v>
      </c>
      <c r="AO140" s="62">
        <f t="shared" si="144"/>
        <v>280.99861170359793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1.9693669640550377</v>
      </c>
      <c r="AV140" s="23">
        <f>EXP(-LN(2)/25)*AV139+(1-EXP(-LN(2)/25))/(LN(2)/25)*Calculateur!AQ140*Calculateur!AS140*VLOOKUP('Données projet'!$B$10,Paramètres!$A$1:$I$89,3,0)*0.475*44/12</f>
        <v>1.957036537644935</v>
      </c>
      <c r="AW140" s="23">
        <f>EXP(-LN(2)/2)*AW139+(1-EXP(-LN(2)/2))/(LN(2)/2)*AQ140*AT140*VLOOKUP('Données projet'!$B$10,Paramètres!$A$1:$I$89,3,0)*0.475*44/12</f>
        <v>1.2825198299519258E-15</v>
      </c>
      <c r="AX140" s="23">
        <f t="shared" si="114"/>
        <v>3.9264035016999741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8.5265128291212022E-14</v>
      </c>
      <c r="BE140" s="14">
        <f>BD140*VLOOKUP('Données projet'!$B$11,Paramètres!$A$1:$I$89,3,0)*VLOOKUP('Données projet'!$B$11,Paramètres!$A$1:$I$89,5,0)</f>
        <v>3.990408004028723E-14</v>
      </c>
      <c r="BF140" s="14">
        <f t="shared" si="145"/>
        <v>6.6713074187844705E-13</v>
      </c>
      <c r="BG140" s="22">
        <f t="shared" si="115"/>
        <v>1.2314189815084623E-12</v>
      </c>
      <c r="BH140" s="62">
        <f t="shared" si="116"/>
        <v>293.33333333333456</v>
      </c>
      <c r="BI140" s="62">
        <f ca="1">AVERAGE(OFFSET($BH$3,0,0,'Données projet'!$E$11+1,1))-AVERAGE(OFFSET($H$3,0,0,'Données projet'!$E$11+1,1))</f>
        <v>90.829393941874685</v>
      </c>
      <c r="BJ140" s="62">
        <f t="shared" si="146"/>
        <v>113.5315547498717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0.36133800288572787</v>
      </c>
      <c r="BQ140" s="23">
        <f>EXP(-LN(2)/25)*BQ139+(1-EXP(-LN(2)/25))/(LN(2)/25)*Calculateur!BL140*Calculateur!BN140*VLOOKUP('Données projet'!$B$11,Paramètres!$A$1:$I$89,3,0)*0.475*44/12</f>
        <v>0.29373603880872112</v>
      </c>
      <c r="BR140" s="23">
        <f>EXP(-LN(2)/2)*BR139+(1-EXP(-LN(2)/2))/(LN(2)/2)*BL140*BO140*VLOOKUP('Données projet'!$B$11,Paramètres!$A$1:$I$89,3,0)*0.475*44/12</f>
        <v>1.8168686334879929E-16</v>
      </c>
      <c r="BS140" s="24">
        <f t="shared" si="117"/>
        <v>0.65507404169444916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-1.4897523215040565E-13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211.95495599943246</v>
      </c>
      <c r="CE140" s="62">
        <f t="shared" si="148"/>
        <v>270.47407508916842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0.29950699577463874</v>
      </c>
      <c r="CL140" s="23">
        <f>EXP(-LN(2)/25)*CL139+(1-EXP(-LN(2)/25))/(LN(2)/25)*Calculateur!CG140*Calculateur!CI140*VLOOKUP('Données projet'!$B$12,Paramètres!$A$1:$I$89,3,0)*0.475*44/12</f>
        <v>0.88141397105909391</v>
      </c>
      <c r="CM140" s="23">
        <f>EXP(-LN(2)/2)*CM139+(1-EXP(-LN(2)/2))/(LN(2)/2)*CG140*CJ140*VLOOKUP('Données projet'!$B$12,Paramètres!$A$1:$I$89,3,0)*0.475*44/12</f>
        <v>9.9130851204776379E-16</v>
      </c>
      <c r="CN140" s="24">
        <f t="shared" si="120"/>
        <v>1.1809209668337335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-2.5420376914553347E-13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446.5364328843699</v>
      </c>
      <c r="T141" s="62">
        <f t="shared" si="142"/>
        <v>559.96606361482179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0.64394087172894465</v>
      </c>
      <c r="AA141" s="23">
        <f>EXP(-LN(2)/25)*AA140+(1-EXP(-LN(2)/25))/(LN(2)/25)*Calculateur!V141*Calculateur!X141*VLOOKUP('Données projet'!$B$9,Paramètres!$A$1:$I$89,3,0)*0.475*44/12</f>
        <v>0.53925308598977695</v>
      </c>
      <c r="AB141" s="23">
        <f>EXP(-LN(2)/2)*AB140+(1-EXP(-LN(2)/2))/(LN(2)/2)*V141*Y141*VLOOKUP('Données projet'!$B$9,Paramètres!$A$1:$I$89,3,0)*0.475*44/12</f>
        <v>7.2674410195360467E-16</v>
      </c>
      <c r="AC141" s="24">
        <f t="shared" si="111"/>
        <v>1.1831939577187223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-3.1036506698001178E-14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164.0740581424559</v>
      </c>
      <c r="AO141" s="62">
        <f t="shared" si="144"/>
        <v>280.99861170359793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1.9307488790851584</v>
      </c>
      <c r="AV141" s="23">
        <f>EXP(-LN(2)/25)*AV140+(1-EXP(-LN(2)/25))/(LN(2)/25)*Calculateur!AQ141*Calculateur!AS141*VLOOKUP('Données projet'!$B$10,Paramètres!$A$1:$I$89,3,0)*0.475*44/12</f>
        <v>1.9035212706069555</v>
      </c>
      <c r="AW141" s="23">
        <f>EXP(-LN(2)/2)*AW140+(1-EXP(-LN(2)/2))/(LN(2)/2)*AQ141*AT141*VLOOKUP('Données projet'!$B$10,Paramètres!$A$1:$I$89,3,0)*0.475*44/12</f>
        <v>9.0687846876522456E-16</v>
      </c>
      <c r="AX141" s="23">
        <f t="shared" si="114"/>
        <v>3.8342701496921148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8.5265128291212022E-14</v>
      </c>
      <c r="BE141" s="14">
        <f>BD141*VLOOKUP('Données projet'!$B$11,Paramètres!$A$1:$I$89,3,0)*VLOOKUP('Données projet'!$B$11,Paramètres!$A$1:$I$89,5,0)</f>
        <v>3.990408004028723E-14</v>
      </c>
      <c r="BF141" s="14">
        <f t="shared" si="145"/>
        <v>6.6713074187844705E-13</v>
      </c>
      <c r="BG141" s="22">
        <f t="shared" si="115"/>
        <v>1.2314189815084623E-12</v>
      </c>
      <c r="BH141" s="62">
        <f t="shared" si="116"/>
        <v>293.33333333333456</v>
      </c>
      <c r="BI141" s="62">
        <f ca="1">AVERAGE(OFFSET($BH$3,0,0,'Données projet'!$E$11+1,1))-AVERAGE(OFFSET($H$3,0,0,'Données projet'!$E$11+1,1))</f>
        <v>90.829393941874685</v>
      </c>
      <c r="BJ141" s="62">
        <f t="shared" si="146"/>
        <v>113.5315547498717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0.35425238504355838</v>
      </c>
      <c r="BQ141" s="23">
        <f>EXP(-LN(2)/25)*BQ140+(1-EXP(-LN(2)/25))/(LN(2)/25)*Calculateur!BL141*Calculateur!BN141*VLOOKUP('Données projet'!$B$11,Paramètres!$A$1:$I$89,3,0)*0.475*44/12</f>
        <v>0.2857038113805897</v>
      </c>
      <c r="BR141" s="23">
        <f>EXP(-LN(2)/2)*BR140+(1-EXP(-LN(2)/2))/(LN(2)/2)*BL141*BO141*VLOOKUP('Données projet'!$B$11,Paramètres!$A$1:$I$89,3,0)*0.475*44/12</f>
        <v>1.2847201312644958E-16</v>
      </c>
      <c r="BS141" s="24">
        <f t="shared" si="117"/>
        <v>0.63995619642414814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-1.4897523215040565E-13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211.95495599943246</v>
      </c>
      <c r="CE141" s="62">
        <f t="shared" si="148"/>
        <v>270.47407508916842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0.29363384626872724</v>
      </c>
      <c r="CL141" s="23">
        <f>EXP(-LN(2)/25)*CL140+(1-EXP(-LN(2)/25))/(LN(2)/25)*Calculateur!CG141*Calculateur!CI141*VLOOKUP('Données projet'!$B$12,Paramètres!$A$1:$I$89,3,0)*0.475*44/12</f>
        <v>0.85731165966893674</v>
      </c>
      <c r="CM141" s="23">
        <f>EXP(-LN(2)/2)*CM140+(1-EXP(-LN(2)/2))/(LN(2)/2)*CG141*CJ141*VLOOKUP('Données projet'!$B$12,Paramètres!$A$1:$I$89,3,0)*0.475*44/12</f>
        <v>7.0096097111692013E-16</v>
      </c>
      <c r="CN141" s="24">
        <f t="shared" si="120"/>
        <v>1.1509455059376645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-2.5420376914553347E-13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446.5364328843699</v>
      </c>
      <c r="T142" s="62">
        <f t="shared" si="142"/>
        <v>559.96606361482179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0.63131358399948945</v>
      </c>
      <c r="AA142" s="23">
        <f>EXP(-LN(2)/25)*AA141+(1-EXP(-LN(2)/25))/(LN(2)/25)*Calculateur!V142*Calculateur!X142*VLOOKUP('Données projet'!$B$9,Paramètres!$A$1:$I$89,3,0)*0.475*44/12</f>
        <v>0.52450718199529922</v>
      </c>
      <c r="AB142" s="23">
        <f>EXP(-LN(2)/2)*AB141+(1-EXP(-LN(2)/2))/(LN(2)/2)*V142*Y142*VLOOKUP('Données projet'!$B$9,Paramètres!$A$1:$I$89,3,0)*0.475*44/12</f>
        <v>5.1388568267872151E-16</v>
      </c>
      <c r="AC142" s="24">
        <f t="shared" si="111"/>
        <v>1.1558207659947892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-3.1036506698001178E-14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164.0740581424559</v>
      </c>
      <c r="AO142" s="62">
        <f t="shared" si="144"/>
        <v>280.99861170359793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1.8928880712068323</v>
      </c>
      <c r="AV142" s="23">
        <f>EXP(-LN(2)/25)*AV141+(1-EXP(-LN(2)/25))/(LN(2)/25)*Calculateur!AQ142*Calculateur!AS142*VLOOKUP('Données projet'!$B$10,Paramètres!$A$1:$I$89,3,0)*0.475*44/12</f>
        <v>1.8514693813603753</v>
      </c>
      <c r="AW142" s="23">
        <f>EXP(-LN(2)/2)*AW141+(1-EXP(-LN(2)/2))/(LN(2)/2)*AQ142*AT142*VLOOKUP('Données projet'!$B$10,Paramètres!$A$1:$I$89,3,0)*0.475*44/12</f>
        <v>6.4125991497596292E-16</v>
      </c>
      <c r="AX142" s="23">
        <f t="shared" si="114"/>
        <v>3.7443574525672081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8.5265128291212022E-14</v>
      </c>
      <c r="BE142" s="14">
        <f>BD142*VLOOKUP('Données projet'!$B$11,Paramètres!$A$1:$I$89,3,0)*VLOOKUP('Données projet'!$B$11,Paramètres!$A$1:$I$89,5,0)</f>
        <v>3.990408004028723E-14</v>
      </c>
      <c r="BF142" s="14">
        <f t="shared" si="145"/>
        <v>6.6713074187844705E-13</v>
      </c>
      <c r="BG142" s="22">
        <f t="shared" si="115"/>
        <v>1.2314189815084623E-12</v>
      </c>
      <c r="BH142" s="62">
        <f t="shared" si="116"/>
        <v>293.33333333333456</v>
      </c>
      <c r="BI142" s="62">
        <f ca="1">AVERAGE(OFFSET($BH$3,0,0,'Données projet'!$E$11+1,1))-AVERAGE(OFFSET($H$3,0,0,'Données projet'!$E$11+1,1))</f>
        <v>90.829393941874685</v>
      </c>
      <c r="BJ142" s="62">
        <f t="shared" si="146"/>
        <v>113.5315547498717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0.34730571184547365</v>
      </c>
      <c r="BQ142" s="23">
        <f>EXP(-LN(2)/25)*BQ141+(1-EXP(-LN(2)/25))/(LN(2)/25)*Calculateur!BL142*Calculateur!BN142*VLOOKUP('Données projet'!$B$11,Paramètres!$A$1:$I$89,3,0)*0.475*44/12</f>
        <v>0.27789122563387703</v>
      </c>
      <c r="BR142" s="23">
        <f>EXP(-LN(2)/2)*BR141+(1-EXP(-LN(2)/2))/(LN(2)/2)*BL142*BO142*VLOOKUP('Données projet'!$B$11,Paramètres!$A$1:$I$89,3,0)*0.475*44/12</f>
        <v>9.0843431674399647E-17</v>
      </c>
      <c r="BS142" s="24">
        <f t="shared" si="117"/>
        <v>0.62519693747935079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-1.4897523215040565E-13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211.95495599943246</v>
      </c>
      <c r="CE142" s="62">
        <f t="shared" si="148"/>
        <v>270.47407508916842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0.28787586564235917</v>
      </c>
      <c r="CL142" s="23">
        <f>EXP(-LN(2)/25)*CL141+(1-EXP(-LN(2)/25))/(LN(2)/25)*Calculateur!CG142*Calculateur!CI142*VLOOKUP('Données projet'!$B$12,Paramètres!$A$1:$I$89,3,0)*0.475*44/12</f>
        <v>0.83386842725122889</v>
      </c>
      <c r="CM142" s="23">
        <f>EXP(-LN(2)/2)*CM141+(1-EXP(-LN(2)/2))/(LN(2)/2)*CG142*CJ142*VLOOKUP('Données projet'!$B$12,Paramètres!$A$1:$I$89,3,0)*0.475*44/12</f>
        <v>4.956542560238819E-16</v>
      </c>
      <c r="CN142" s="24">
        <f t="shared" si="120"/>
        <v>1.1217442928935886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-2.5420376914553347E-13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446.5364328843699</v>
      </c>
      <c r="T143" s="62">
        <f t="shared" si="142"/>
        <v>559.96606361482179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0.61893390968052386</v>
      </c>
      <c r="AA143" s="23">
        <f>EXP(-LN(2)/25)*AA142+(1-EXP(-LN(2)/25))/(LN(2)/25)*Calculateur!V143*Calculateur!X143*VLOOKUP('Données projet'!$B$9,Paramètres!$A$1:$I$89,3,0)*0.475*44/12</f>
        <v>0.51016450552100379</v>
      </c>
      <c r="AB143" s="23">
        <f>EXP(-LN(2)/2)*AB142+(1-EXP(-LN(2)/2))/(LN(2)/2)*V143*Y143*VLOOKUP('Données projet'!$B$9,Paramètres!$A$1:$I$89,3,0)*0.475*44/12</f>
        <v>3.6337205097680233E-16</v>
      </c>
      <c r="AC143" s="24">
        <f t="shared" si="111"/>
        <v>1.1290984152015282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-3.1036506698001178E-14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164.0740581424559</v>
      </c>
      <c r="AO143" s="62">
        <f t="shared" si="144"/>
        <v>280.99861170359793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1.8557696906781878</v>
      </c>
      <c r="AV143" s="23">
        <f>EXP(-LN(2)/25)*AV142+(1-EXP(-LN(2)/25))/(LN(2)/25)*Calculateur!AQ143*Calculateur!AS143*VLOOKUP('Données projet'!$B$10,Paramètres!$A$1:$I$89,3,0)*0.475*44/12</f>
        <v>1.8008408537625327</v>
      </c>
      <c r="AW143" s="23">
        <f>EXP(-LN(2)/2)*AW142+(1-EXP(-LN(2)/2))/(LN(2)/2)*AQ143*AT143*VLOOKUP('Données projet'!$B$10,Paramètres!$A$1:$I$89,3,0)*0.475*44/12</f>
        <v>4.5343923438261228E-16</v>
      </c>
      <c r="AX143" s="23">
        <f t="shared" si="114"/>
        <v>3.6566105444407211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8.5265128291212022E-14</v>
      </c>
      <c r="BE143" s="14">
        <f>BD143*VLOOKUP('Données projet'!$B$11,Paramètres!$A$1:$I$89,3,0)*VLOOKUP('Données projet'!$B$11,Paramètres!$A$1:$I$89,5,0)</f>
        <v>3.990408004028723E-14</v>
      </c>
      <c r="BF143" s="14">
        <f t="shared" si="145"/>
        <v>6.6713074187844705E-13</v>
      </c>
      <c r="BG143" s="22">
        <f t="shared" si="115"/>
        <v>1.2314189815084623E-12</v>
      </c>
      <c r="BH143" s="62">
        <f t="shared" si="116"/>
        <v>293.33333333333456</v>
      </c>
      <c r="BI143" s="62">
        <f ca="1">AVERAGE(OFFSET($BH$3,0,0,'Données projet'!$E$11+1,1))-AVERAGE(OFFSET($H$3,0,0,'Données projet'!$E$11+1,1))</f>
        <v>90.829393941874685</v>
      </c>
      <c r="BJ143" s="62">
        <f t="shared" si="146"/>
        <v>113.5315547498717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0.34049525867175112</v>
      </c>
      <c r="BQ143" s="23">
        <f>EXP(-LN(2)/25)*BQ142+(1-EXP(-LN(2)/25))/(LN(2)/25)*Calculateur!BL143*Calculateur!BN143*VLOOKUP('Données projet'!$B$11,Paramètres!$A$1:$I$89,3,0)*0.475*44/12</f>
        <v>0.27029227545525425</v>
      </c>
      <c r="BR143" s="23">
        <f>EXP(-LN(2)/2)*BR142+(1-EXP(-LN(2)/2))/(LN(2)/2)*BL143*BO143*VLOOKUP('Données projet'!$B$11,Paramètres!$A$1:$I$89,3,0)*0.475*44/12</f>
        <v>6.4236006563224792E-17</v>
      </c>
      <c r="BS143" s="24">
        <f t="shared" si="117"/>
        <v>0.61078753412700548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-1.4897523215040565E-13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211.95495599943246</v>
      </c>
      <c r="CE143" s="62">
        <f t="shared" si="148"/>
        <v>270.47407508916842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0.28223079550405278</v>
      </c>
      <c r="CL143" s="23">
        <f>EXP(-LN(2)/25)*CL142+(1-EXP(-LN(2)/25))/(LN(2)/25)*Calculateur!CG143*Calculateur!CI143*VLOOKUP('Données projet'!$B$12,Paramètres!$A$1:$I$89,3,0)*0.475*44/12</f>
        <v>0.81106625125680931</v>
      </c>
      <c r="CM143" s="23">
        <f>EXP(-LN(2)/2)*CM142+(1-EXP(-LN(2)/2))/(LN(2)/2)*CG143*CJ143*VLOOKUP('Données projet'!$B$12,Paramètres!$A$1:$I$89,3,0)*0.475*44/12</f>
        <v>3.5048048555846006E-16</v>
      </c>
      <c r="CN143" s="24">
        <f t="shared" si="120"/>
        <v>1.0932970467608625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-2.5420376914553347E-13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446.5364328843699</v>
      </c>
      <c r="T144" s="62">
        <f t="shared" si="142"/>
        <v>559.96606361482179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0.60679699322409741</v>
      </c>
      <c r="AA144" s="23">
        <f>EXP(-LN(2)/25)*AA143+(1-EXP(-LN(2)/25))/(LN(2)/25)*Calculateur!V144*Calculateur!X144*VLOOKUP('Données projet'!$B$9,Paramètres!$A$1:$I$89,3,0)*0.475*44/12</f>
        <v>0.49621403028914657</v>
      </c>
      <c r="AB144" s="23">
        <f>EXP(-LN(2)/2)*AB143+(1-EXP(-LN(2)/2))/(LN(2)/2)*V144*Y144*VLOOKUP('Données projet'!$B$9,Paramètres!$A$1:$I$89,3,0)*0.475*44/12</f>
        <v>2.5694284133936075E-16</v>
      </c>
      <c r="AC144" s="24">
        <f t="shared" si="111"/>
        <v>1.1030110235132442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-3.1036506698001178E-14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164.0740581424559</v>
      </c>
      <c r="AO144" s="62">
        <f t="shared" si="144"/>
        <v>280.99861170359793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1.8193791789517333</v>
      </c>
      <c r="AV144" s="23">
        <f>EXP(-LN(2)/25)*AV143+(1-EXP(-LN(2)/25))/(LN(2)/25)*Calculateur!AQ144*Calculateur!AS144*VLOOKUP('Données projet'!$B$10,Paramètres!$A$1:$I$89,3,0)*0.475*44/12</f>
        <v>1.7515967659142917</v>
      </c>
      <c r="AW144" s="23">
        <f>EXP(-LN(2)/2)*AW143+(1-EXP(-LN(2)/2))/(LN(2)/2)*AQ144*AT144*VLOOKUP('Données projet'!$B$10,Paramètres!$A$1:$I$89,3,0)*0.475*44/12</f>
        <v>3.2062995748798146E-16</v>
      </c>
      <c r="AX144" s="23">
        <f t="shared" si="114"/>
        <v>3.5709759448660257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8.5265128291212022E-14</v>
      </c>
      <c r="BE144" s="14">
        <f>BD144*VLOOKUP('Données projet'!$B$11,Paramètres!$A$1:$I$89,3,0)*VLOOKUP('Données projet'!$B$11,Paramètres!$A$1:$I$89,5,0)</f>
        <v>3.990408004028723E-14</v>
      </c>
      <c r="BF144" s="14">
        <f t="shared" si="145"/>
        <v>6.6713074187844705E-13</v>
      </c>
      <c r="BG144" s="22">
        <f t="shared" si="115"/>
        <v>1.2314189815084623E-12</v>
      </c>
      <c r="BH144" s="62">
        <f t="shared" si="116"/>
        <v>293.33333333333456</v>
      </c>
      <c r="BI144" s="62">
        <f ca="1">AVERAGE(OFFSET($BH$3,0,0,'Données projet'!$E$11+1,1))-AVERAGE(OFFSET($H$3,0,0,'Données projet'!$E$11+1,1))</f>
        <v>90.829393941874685</v>
      </c>
      <c r="BJ144" s="62">
        <f t="shared" si="146"/>
        <v>113.5315547498717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0.33381835433079904</v>
      </c>
      <c r="BQ144" s="23">
        <f>EXP(-LN(2)/25)*BQ143+(1-EXP(-LN(2)/25))/(LN(2)/25)*Calculateur!BL144*Calculateur!BN144*VLOOKUP('Données projet'!$B$11,Paramètres!$A$1:$I$89,3,0)*0.475*44/12</f>
        <v>0.2629011189688773</v>
      </c>
      <c r="BR144" s="23">
        <f>EXP(-LN(2)/2)*BR143+(1-EXP(-LN(2)/2))/(LN(2)/2)*BL144*BO144*VLOOKUP('Données projet'!$B$11,Paramètres!$A$1:$I$89,3,0)*0.475*44/12</f>
        <v>4.5421715837199824E-17</v>
      </c>
      <c r="BS144" s="24">
        <f t="shared" si="117"/>
        <v>0.59671947329967634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-1.4897523215040565E-13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211.95495599943246</v>
      </c>
      <c r="CE144" s="62">
        <f t="shared" si="148"/>
        <v>270.47407508916842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0.27669642174800579</v>
      </c>
      <c r="CL144" s="23">
        <f>EXP(-LN(2)/25)*CL143+(1-EXP(-LN(2)/25))/(LN(2)/25)*Calculateur!CG144*Calculateur!CI144*VLOOKUP('Données projet'!$B$12,Paramètres!$A$1:$I$89,3,0)*0.475*44/12</f>
        <v>0.78888760196407137</v>
      </c>
      <c r="CM144" s="23">
        <f>EXP(-LN(2)/2)*CM143+(1-EXP(-LN(2)/2))/(LN(2)/2)*CG144*CJ144*VLOOKUP('Données projet'!$B$12,Paramètres!$A$1:$I$89,3,0)*0.475*44/12</f>
        <v>2.4782712801194095E-16</v>
      </c>
      <c r="CN144" s="24">
        <f t="shared" si="120"/>
        <v>1.0655840237120773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-2.5420376914553347E-13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446.5364328843699</v>
      </c>
      <c r="T145" s="62">
        <f t="shared" si="142"/>
        <v>559.96606361482179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0.59489807429659347</v>
      </c>
      <c r="AA145" s="23">
        <f>EXP(-LN(2)/25)*AA144+(1-EXP(-LN(2)/25))/(LN(2)/25)*Calculateur!V145*Calculateur!X145*VLOOKUP('Données projet'!$B$9,Paramètres!$A$1:$I$89,3,0)*0.475*44/12</f>
        <v>0.48264503153612809</v>
      </c>
      <c r="AB145" s="23">
        <f>EXP(-LN(2)/2)*AB144+(1-EXP(-LN(2)/2))/(LN(2)/2)*V145*Y145*VLOOKUP('Données projet'!$B$9,Paramètres!$A$1:$I$89,3,0)*0.475*44/12</f>
        <v>1.8168602548840117E-16</v>
      </c>
      <c r="AC145" s="24">
        <f t="shared" si="111"/>
        <v>1.0775431058327218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-3.1036506698001178E-14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164.0740581424559</v>
      </c>
      <c r="AO145" s="62">
        <f t="shared" si="144"/>
        <v>280.99861170359793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1.7837022629642141</v>
      </c>
      <c r="AV145" s="23">
        <f>EXP(-LN(2)/25)*AV144+(1-EXP(-LN(2)/25))/(LN(2)/25)*Calculateur!AQ145*Calculateur!AS145*VLOOKUP('Données projet'!$B$10,Paramètres!$A$1:$I$89,3,0)*0.475*44/12</f>
        <v>1.7036992602378949</v>
      </c>
      <c r="AW145" s="23">
        <f>EXP(-LN(2)/2)*AW144+(1-EXP(-LN(2)/2))/(LN(2)/2)*AQ145*AT145*VLOOKUP('Données projet'!$B$10,Paramètres!$A$1:$I$89,3,0)*0.475*44/12</f>
        <v>2.2671961719130614E-16</v>
      </c>
      <c r="AX145" s="23">
        <f t="shared" si="114"/>
        <v>3.4874015232021094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8.5265128291212022E-14</v>
      </c>
      <c r="BE145" s="14">
        <f>BD145*VLOOKUP('Données projet'!$B$11,Paramètres!$A$1:$I$89,3,0)*VLOOKUP('Données projet'!$B$11,Paramètres!$A$1:$I$89,5,0)</f>
        <v>3.990408004028723E-14</v>
      </c>
      <c r="BF145" s="14">
        <f t="shared" si="145"/>
        <v>6.6713074187844705E-13</v>
      </c>
      <c r="BG145" s="22">
        <f t="shared" si="115"/>
        <v>1.2314189815084623E-12</v>
      </c>
      <c r="BH145" s="62">
        <f t="shared" si="116"/>
        <v>293.33333333333456</v>
      </c>
      <c r="BI145" s="62">
        <f ca="1">AVERAGE(OFFSET($BH$3,0,0,'Données projet'!$E$11+1,1))-AVERAGE(OFFSET($H$3,0,0,'Données projet'!$E$11+1,1))</f>
        <v>90.829393941874685</v>
      </c>
      <c r="BJ145" s="62">
        <f t="shared" si="146"/>
        <v>113.5315547498717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0.32727238001146347</v>
      </c>
      <c r="BQ145" s="23">
        <f>EXP(-LN(2)/25)*BQ144+(1-EXP(-LN(2)/25))/(LN(2)/25)*Calculateur!BL145*Calculateur!BN145*VLOOKUP('Données projet'!$B$11,Paramètres!$A$1:$I$89,3,0)*0.475*44/12</f>
        <v>0.25571207404530438</v>
      </c>
      <c r="BR145" s="23">
        <f>EXP(-LN(2)/2)*BR144+(1-EXP(-LN(2)/2))/(LN(2)/2)*BL145*BO145*VLOOKUP('Données projet'!$B$11,Paramètres!$A$1:$I$89,3,0)*0.475*44/12</f>
        <v>3.2118003281612396E-17</v>
      </c>
      <c r="BS145" s="24">
        <f t="shared" si="117"/>
        <v>0.58298445405676791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-1.4897523215040565E-13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211.95495599943246</v>
      </c>
      <c r="CE145" s="62">
        <f t="shared" si="148"/>
        <v>270.47407508916842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0.27127057368568019</v>
      </c>
      <c r="CL145" s="23">
        <f>EXP(-LN(2)/25)*CL144+(1-EXP(-LN(2)/25))/(LN(2)/25)*Calculateur!CG145*Calculateur!CI145*VLOOKUP('Données projet'!$B$12,Paramètres!$A$1:$I$89,3,0)*0.475*44/12</f>
        <v>0.76731542900256788</v>
      </c>
      <c r="CM145" s="23">
        <f>EXP(-LN(2)/2)*CM144+(1-EXP(-LN(2)/2))/(LN(2)/2)*CG145*CJ145*VLOOKUP('Données projet'!$B$12,Paramètres!$A$1:$I$89,3,0)*0.475*44/12</f>
        <v>1.7524024277923003E-16</v>
      </c>
      <c r="CN145" s="24">
        <f t="shared" si="120"/>
        <v>1.0385860026882483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-2.5420376914553347E-13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446.5364328843699</v>
      </c>
      <c r="T146" s="62">
        <f t="shared" si="142"/>
        <v>559.96606361482179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0.5832324859116339</v>
      </c>
      <c r="AA146" s="23">
        <f>EXP(-LN(2)/25)*AA145+(1-EXP(-LN(2)/25))/(LN(2)/25)*Calculateur!V146*Calculateur!X146*VLOOKUP('Données projet'!$B$9,Paramètres!$A$1:$I$89,3,0)*0.475*44/12</f>
        <v>0.46944707776757355</v>
      </c>
      <c r="AB146" s="23">
        <f>EXP(-LN(2)/2)*AB145+(1-EXP(-LN(2)/2))/(LN(2)/2)*V146*Y146*VLOOKUP('Données projet'!$B$9,Paramètres!$A$1:$I$89,3,0)*0.475*44/12</f>
        <v>1.2847142066968038E-16</v>
      </c>
      <c r="AC146" s="24">
        <f t="shared" si="111"/>
        <v>1.0526795636792077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-3.1036506698001178E-14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164.0740581424559</v>
      </c>
      <c r="AO146" s="62">
        <f t="shared" si="144"/>
        <v>280.99861170359793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1.74872494953844</v>
      </c>
      <c r="AV146" s="23">
        <f>EXP(-LN(2)/25)*AV145+(1-EXP(-LN(2)/25))/(LN(2)/25)*Calculateur!AQ146*Calculateur!AS146*VLOOKUP('Données projet'!$B$10,Paramètres!$A$1:$I$89,3,0)*0.475*44/12</f>
        <v>1.6571115143730395</v>
      </c>
      <c r="AW146" s="23">
        <f>EXP(-LN(2)/2)*AW145+(1-EXP(-LN(2)/2))/(LN(2)/2)*AQ146*AT146*VLOOKUP('Données projet'!$B$10,Paramètres!$A$1:$I$89,3,0)*0.475*44/12</f>
        <v>1.6031497874399073E-16</v>
      </c>
      <c r="AX146" s="23">
        <f t="shared" si="114"/>
        <v>3.4058364639114798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8.5265128291212022E-14</v>
      </c>
      <c r="BE146" s="14">
        <f>BD146*VLOOKUP('Données projet'!$B$11,Paramètres!$A$1:$I$89,3,0)*VLOOKUP('Données projet'!$B$11,Paramètres!$A$1:$I$89,5,0)</f>
        <v>3.990408004028723E-14</v>
      </c>
      <c r="BF146" s="14">
        <f t="shared" si="145"/>
        <v>6.6713074187844705E-13</v>
      </c>
      <c r="BG146" s="22">
        <f t="shared" si="115"/>
        <v>1.2314189815084623E-12</v>
      </c>
      <c r="BH146" s="62">
        <f t="shared" si="116"/>
        <v>293.33333333333456</v>
      </c>
      <c r="BI146" s="62">
        <f ca="1">AVERAGE(OFFSET($BH$3,0,0,'Données projet'!$E$11+1,1))-AVERAGE(OFFSET($H$3,0,0,'Données projet'!$E$11+1,1))</f>
        <v>90.829393941874685</v>
      </c>
      <c r="BJ146" s="62">
        <f t="shared" si="146"/>
        <v>113.5315547498717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0.32085476825588</v>
      </c>
      <c r="BQ146" s="23">
        <f>EXP(-LN(2)/25)*BQ145+(1-EXP(-LN(2)/25))/(LN(2)/25)*Calculateur!BL146*Calculateur!BN146*VLOOKUP('Données projet'!$B$11,Paramètres!$A$1:$I$89,3,0)*0.475*44/12</f>
        <v>0.24871961393322201</v>
      </c>
      <c r="BR146" s="23">
        <f>EXP(-LN(2)/2)*BR145+(1-EXP(-LN(2)/2))/(LN(2)/2)*BL146*BO146*VLOOKUP('Données projet'!$B$11,Paramètres!$A$1:$I$89,3,0)*0.475*44/12</f>
        <v>2.2710857918599912E-17</v>
      </c>
      <c r="BS146" s="24">
        <f t="shared" si="117"/>
        <v>0.56957438218910195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-1.4897523215040565E-13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211.95495599943246</v>
      </c>
      <c r="CE146" s="62">
        <f t="shared" si="148"/>
        <v>270.47407508916842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0.26595112319441627</v>
      </c>
      <c r="CL146" s="23">
        <f>EXP(-LN(2)/25)*CL145+(1-EXP(-LN(2)/25))/(LN(2)/25)*Calculateur!CG146*Calculateur!CI146*VLOOKUP('Données projet'!$B$12,Paramètres!$A$1:$I$89,3,0)*0.475*44/12</f>
        <v>0.74633314824512798</v>
      </c>
      <c r="CM146" s="23">
        <f>EXP(-LN(2)/2)*CM145+(1-EXP(-LN(2)/2))/(LN(2)/2)*CG146*CJ146*VLOOKUP('Données projet'!$B$12,Paramètres!$A$1:$I$89,3,0)*0.475*44/12</f>
        <v>1.2391356400597047E-16</v>
      </c>
      <c r="CN146" s="24">
        <f t="shared" si="120"/>
        <v>1.0122842714395446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-2.5420376914553347E-13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446.5364328843699</v>
      </c>
      <c r="T147" s="62">
        <f t="shared" si="142"/>
        <v>559.96606361482179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0.57179565259959708</v>
      </c>
      <c r="AA147" s="23">
        <f>EXP(-LN(2)/25)*AA146+(1-EXP(-LN(2)/25))/(LN(2)/25)*Calculateur!V147*Calculateur!X147*VLOOKUP('Données projet'!$B$9,Paramètres!$A$1:$I$89,3,0)*0.475*44/12</f>
        <v>0.45661002273887036</v>
      </c>
      <c r="AB147" s="23">
        <f>EXP(-LN(2)/2)*AB146+(1-EXP(-LN(2)/2))/(LN(2)/2)*V147*Y147*VLOOKUP('Données projet'!$B$9,Paramètres!$A$1:$I$89,3,0)*0.475*44/12</f>
        <v>9.0843012744200583E-17</v>
      </c>
      <c r="AC147" s="24">
        <f t="shared" si="111"/>
        <v>1.0284056753384674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-3.1036506698001178E-14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164.0740581424559</v>
      </c>
      <c r="AO147" s="62">
        <f t="shared" si="144"/>
        <v>280.99861170359793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1.7144335198948908</v>
      </c>
      <c r="AV147" s="23">
        <f>EXP(-LN(2)/25)*AV146+(1-EXP(-LN(2)/25))/(LN(2)/25)*Calculateur!AQ147*Calculateur!AS147*VLOOKUP('Données projet'!$B$10,Paramètres!$A$1:$I$89,3,0)*0.475*44/12</f>
        <v>1.6117977128688015</v>
      </c>
      <c r="AW147" s="23">
        <f>EXP(-LN(2)/2)*AW146+(1-EXP(-LN(2)/2))/(LN(2)/2)*AQ147*AT147*VLOOKUP('Données projet'!$B$10,Paramètres!$A$1:$I$89,3,0)*0.475*44/12</f>
        <v>1.1335980859565307E-16</v>
      </c>
      <c r="AX147" s="23">
        <f t="shared" si="114"/>
        <v>3.3262312327636923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8.5265128291212022E-14</v>
      </c>
      <c r="BE147" s="14">
        <f>BD147*VLOOKUP('Données projet'!$B$11,Paramètres!$A$1:$I$89,3,0)*VLOOKUP('Données projet'!$B$11,Paramètres!$A$1:$I$89,5,0)</f>
        <v>3.990408004028723E-14</v>
      </c>
      <c r="BF147" s="14">
        <f t="shared" si="145"/>
        <v>6.6713074187844705E-13</v>
      </c>
      <c r="BG147" s="22">
        <f t="shared" si="115"/>
        <v>1.2314189815084623E-12</v>
      </c>
      <c r="BH147" s="62">
        <f t="shared" si="116"/>
        <v>293.33333333333456</v>
      </c>
      <c r="BI147" s="62">
        <f ca="1">AVERAGE(OFFSET($BH$3,0,0,'Données projet'!$E$11+1,1))-AVERAGE(OFFSET($H$3,0,0,'Données projet'!$E$11+1,1))</f>
        <v>90.829393941874685</v>
      </c>
      <c r="BJ147" s="62">
        <f t="shared" si="146"/>
        <v>113.5315547498717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0.31456300195246684</v>
      </c>
      <c r="BQ147" s="23">
        <f>EXP(-LN(2)/25)*BQ146+(1-EXP(-LN(2)/25))/(LN(2)/25)*Calculateur!BL147*Calculateur!BN147*VLOOKUP('Données projet'!$B$11,Paramètres!$A$1:$I$89,3,0)*0.475*44/12</f>
        <v>0.241918363010622</v>
      </c>
      <c r="BR147" s="23">
        <f>EXP(-LN(2)/2)*BR146+(1-EXP(-LN(2)/2))/(LN(2)/2)*BL147*BO147*VLOOKUP('Données projet'!$B$11,Paramètres!$A$1:$I$89,3,0)*0.475*44/12</f>
        <v>1.6059001640806198E-17</v>
      </c>
      <c r="BS147" s="24">
        <f t="shared" si="117"/>
        <v>0.55648136496308886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-1.4897523215040565E-13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211.95495599943246</v>
      </c>
      <c r="CE147" s="62">
        <f t="shared" si="148"/>
        <v>270.47407508916842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0.26073598388274161</v>
      </c>
      <c r="CL147" s="23">
        <f>EXP(-LN(2)/25)*CL146+(1-EXP(-LN(2)/25))/(LN(2)/25)*Calculateur!CG147*Calculateur!CI147*VLOOKUP('Données projet'!$B$12,Paramètres!$A$1:$I$89,3,0)*0.475*44/12</f>
        <v>0.72592462905841049</v>
      </c>
      <c r="CM147" s="23">
        <f>EXP(-LN(2)/2)*CM146+(1-EXP(-LN(2)/2))/(LN(2)/2)*CG147*CJ147*VLOOKUP('Données projet'!$B$12,Paramètres!$A$1:$I$89,3,0)*0.475*44/12</f>
        <v>8.7620121389615016E-17</v>
      </c>
      <c r="CN147" s="24">
        <f t="shared" si="120"/>
        <v>0.98666061294115226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-2.5420376914553347E-13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446.5364328843699</v>
      </c>
      <c r="T148" s="62">
        <f t="shared" si="142"/>
        <v>559.96606361482179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0.56058308861302975</v>
      </c>
      <c r="AA148" s="23">
        <f>EXP(-LN(2)/25)*AA147+(1-EXP(-LN(2)/25))/(LN(2)/25)*Calculateur!V148*Calculateur!X148*VLOOKUP('Données projet'!$B$9,Paramètres!$A$1:$I$89,3,0)*0.475*44/12</f>
        <v>0.44412399765499844</v>
      </c>
      <c r="AB148" s="23">
        <f>EXP(-LN(2)/2)*AB147+(1-EXP(-LN(2)/2))/(LN(2)/2)*V148*Y148*VLOOKUP('Données projet'!$B$9,Paramètres!$A$1:$I$89,3,0)*0.475*44/12</f>
        <v>6.4235710334840189E-17</v>
      </c>
      <c r="AC148" s="24">
        <f t="shared" si="111"/>
        <v>1.0047070862680281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-3.1036506698001178E-14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164.0740581424559</v>
      </c>
      <c r="AO148" s="62">
        <f t="shared" si="144"/>
        <v>280.99861170359793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1.6808145242709447</v>
      </c>
      <c r="AV148" s="23">
        <f>EXP(-LN(2)/25)*AV147+(1-EXP(-LN(2)/25))/(LN(2)/25)*Calculateur!AQ148*Calculateur!AS148*VLOOKUP('Données projet'!$B$10,Paramètres!$A$1:$I$89,3,0)*0.475*44/12</f>
        <v>1.5677230196496461</v>
      </c>
      <c r="AW148" s="23">
        <f>EXP(-LN(2)/2)*AW147+(1-EXP(-LN(2)/2))/(LN(2)/2)*AQ148*AT148*VLOOKUP('Données projet'!$B$10,Paramètres!$A$1:$I$89,3,0)*0.475*44/12</f>
        <v>8.0157489371995365E-17</v>
      </c>
      <c r="AX148" s="23">
        <f t="shared" si="114"/>
        <v>3.248537543920591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8.5265128291212022E-14</v>
      </c>
      <c r="BE148" s="14">
        <f>BD148*VLOOKUP('Données projet'!$B$11,Paramètres!$A$1:$I$89,3,0)*VLOOKUP('Données projet'!$B$11,Paramètres!$A$1:$I$89,5,0)</f>
        <v>3.990408004028723E-14</v>
      </c>
      <c r="BF148" s="14">
        <f t="shared" si="145"/>
        <v>6.6713074187844705E-13</v>
      </c>
      <c r="BG148" s="22">
        <f t="shared" si="115"/>
        <v>1.2314189815084623E-12</v>
      </c>
      <c r="BH148" s="62">
        <f t="shared" si="116"/>
        <v>293.33333333333456</v>
      </c>
      <c r="BI148" s="62">
        <f ca="1">AVERAGE(OFFSET($BH$3,0,0,'Données projet'!$E$11+1,1))-AVERAGE(OFFSET($H$3,0,0,'Données projet'!$E$11+1,1))</f>
        <v>90.829393941874685</v>
      </c>
      <c r="BJ148" s="62">
        <f t="shared" si="146"/>
        <v>113.5315547498717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0.30839461334866508</v>
      </c>
      <c r="BQ148" s="23">
        <f>EXP(-LN(2)/25)*BQ147+(1-EXP(-LN(2)/25))/(LN(2)/25)*Calculateur!BL148*Calculateur!BN148*VLOOKUP('Données projet'!$B$11,Paramètres!$A$1:$I$89,3,0)*0.475*44/12</f>
        <v>0.23530309265216273</v>
      </c>
      <c r="BR148" s="23">
        <f>EXP(-LN(2)/2)*BR147+(1-EXP(-LN(2)/2))/(LN(2)/2)*BL148*BO148*VLOOKUP('Données projet'!$B$11,Paramètres!$A$1:$I$89,3,0)*0.475*44/12</f>
        <v>1.1355428959299956E-17</v>
      </c>
      <c r="BS148" s="24">
        <f t="shared" si="117"/>
        <v>0.54369770600082779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-1.4897523215040565E-13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211.95495599943246</v>
      </c>
      <c r="CE148" s="62">
        <f t="shared" si="148"/>
        <v>270.47407508916842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0.25562311027204798</v>
      </c>
      <c r="CL148" s="23">
        <f>EXP(-LN(2)/25)*CL147+(1-EXP(-LN(2)/25))/(LN(2)/25)*Calculateur!CG148*Calculateur!CI148*VLOOKUP('Données projet'!$B$12,Paramètres!$A$1:$I$89,3,0)*0.475*44/12</f>
        <v>0.70607418190209115</v>
      </c>
      <c r="CM148" s="23">
        <f>EXP(-LN(2)/2)*CM147+(1-EXP(-LN(2)/2))/(LN(2)/2)*CG148*CJ148*VLOOKUP('Données projet'!$B$12,Paramètres!$A$1:$I$89,3,0)*0.475*44/12</f>
        <v>6.1956782002985237E-17</v>
      </c>
      <c r="CN148" s="24">
        <f t="shared" si="120"/>
        <v>0.96169729217413924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-2.5420376914553347E-13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446.5364328843699</v>
      </c>
      <c r="T149" s="62">
        <f t="shared" si="142"/>
        <v>559.96606361482179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0.54959039616725025</v>
      </c>
      <c r="AA149" s="23">
        <f>EXP(-LN(2)/25)*AA148+(1-EXP(-LN(2)/25))/(LN(2)/25)*Calculateur!V149*Calculateur!X149*VLOOKUP('Données projet'!$B$9,Paramètres!$A$1:$I$89,3,0)*0.475*44/12</f>
        <v>0.43197940358365655</v>
      </c>
      <c r="AB149" s="23">
        <f>EXP(-LN(2)/2)*AB148+(1-EXP(-LN(2)/2))/(LN(2)/2)*V149*Y149*VLOOKUP('Données projet'!$B$9,Paramètres!$A$1:$I$89,3,0)*0.475*44/12</f>
        <v>4.5421506372100292E-17</v>
      </c>
      <c r="AC149" s="24">
        <f t="shared" si="111"/>
        <v>0.98156979975090675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-3.1036506698001178E-14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164.0740581424559</v>
      </c>
      <c r="AO149" s="62">
        <f t="shared" si="144"/>
        <v>280.99861170359793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1.6478547766456215</v>
      </c>
      <c r="AV149" s="23">
        <f>EXP(-LN(2)/25)*AV148+(1-EXP(-LN(2)/25))/(LN(2)/25)*Calculateur!AQ149*Calculateur!AS149*VLOOKUP('Données projet'!$B$10,Paramètres!$A$1:$I$89,3,0)*0.475*44/12</f>
        <v>1.524853551234356</v>
      </c>
      <c r="AW149" s="23">
        <f>EXP(-LN(2)/2)*AW148+(1-EXP(-LN(2)/2))/(LN(2)/2)*AQ149*AT149*VLOOKUP('Données projet'!$B$10,Paramètres!$A$1:$I$89,3,0)*0.475*44/12</f>
        <v>5.6679904297826535E-17</v>
      </c>
      <c r="AX149" s="23">
        <f t="shared" si="114"/>
        <v>3.1727083278799775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8.5265128291212022E-14</v>
      </c>
      <c r="BE149" s="14">
        <f>BD149*VLOOKUP('Données projet'!$B$11,Paramètres!$A$1:$I$89,3,0)*VLOOKUP('Données projet'!$B$11,Paramètres!$A$1:$I$89,5,0)</f>
        <v>3.990408004028723E-14</v>
      </c>
      <c r="BF149" s="14">
        <f t="shared" si="145"/>
        <v>6.6713074187844705E-13</v>
      </c>
      <c r="BG149" s="22">
        <f t="shared" si="115"/>
        <v>1.2314189815084623E-12</v>
      </c>
      <c r="BH149" s="62">
        <f t="shared" si="116"/>
        <v>293.33333333333456</v>
      </c>
      <c r="BI149" s="62">
        <f ca="1">AVERAGE(OFFSET($BH$3,0,0,'Données projet'!$E$11+1,1))-AVERAGE(OFFSET($H$3,0,0,'Données projet'!$E$11+1,1))</f>
        <v>90.829393941874685</v>
      </c>
      <c r="BJ149" s="62">
        <f t="shared" si="146"/>
        <v>113.5315547498717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0.30234718308303837</v>
      </c>
      <c r="BQ149" s="23">
        <f>EXP(-LN(2)/25)*BQ148+(1-EXP(-LN(2)/25))/(LN(2)/25)*Calculateur!BL149*Calculateur!BN149*VLOOKUP('Données projet'!$B$11,Paramètres!$A$1:$I$89,3,0)*0.475*44/12</f>
        <v>0.2288687172095375</v>
      </c>
      <c r="BR149" s="23">
        <f>EXP(-LN(2)/2)*BR148+(1-EXP(-LN(2)/2))/(LN(2)/2)*BL149*BO149*VLOOKUP('Données projet'!$B$11,Paramètres!$A$1:$I$89,3,0)*0.475*44/12</f>
        <v>8.029500820403099E-18</v>
      </c>
      <c r="BS149" s="24">
        <f t="shared" si="117"/>
        <v>0.53121590029257582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-1.4897523215040565E-13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211.95495599943246</v>
      </c>
      <c r="CE149" s="62">
        <f t="shared" si="148"/>
        <v>270.47407508916842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0.25061049699431509</v>
      </c>
      <c r="CL149" s="23">
        <f>EXP(-LN(2)/25)*CL148+(1-EXP(-LN(2)/25))/(LN(2)/25)*Calculateur!CG149*Calculateur!CI149*VLOOKUP('Données projet'!$B$12,Paramètres!$A$1:$I$89,3,0)*0.475*44/12</f>
        <v>0.68676654626715095</v>
      </c>
      <c r="CM149" s="23">
        <f>EXP(-LN(2)/2)*CM148+(1-EXP(-LN(2)/2))/(LN(2)/2)*CG149*CJ149*VLOOKUP('Données projet'!$B$12,Paramètres!$A$1:$I$89,3,0)*0.475*44/12</f>
        <v>4.3810060694807508E-17</v>
      </c>
      <c r="CN149" s="24">
        <f t="shared" si="120"/>
        <v>0.93737704326146609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-2.5420376914553347E-13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446.5364328843699</v>
      </c>
      <c r="T150" s="62">
        <f t="shared" si="142"/>
        <v>559.96606361482179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0.53881326371545224</v>
      </c>
      <c r="AA150" s="23">
        <f>EXP(-LN(2)/25)*AA149+(1-EXP(-LN(2)/25))/(LN(2)/25)*Calculateur!V150*Calculateur!X150*VLOOKUP('Données projet'!$B$9,Paramètres!$A$1:$I$89,3,0)*0.475*44/12</f>
        <v>0.42016690407585194</v>
      </c>
      <c r="AB150" s="23">
        <f>EXP(-LN(2)/2)*AB149+(1-EXP(-LN(2)/2))/(LN(2)/2)*V150*Y150*VLOOKUP('Données projet'!$B$9,Paramètres!$A$1:$I$89,3,0)*0.475*44/12</f>
        <v>3.2117855167420094E-17</v>
      </c>
      <c r="AC150" s="24">
        <f t="shared" si="111"/>
        <v>0.95898016779130413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-3.1036506698001178E-14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164.0740581424559</v>
      </c>
      <c r="AO150" s="62">
        <f t="shared" si="144"/>
        <v>280.99861170359793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1.61554134956777</v>
      </c>
      <c r="AV150" s="23">
        <f>EXP(-LN(2)/25)*AV149+(1-EXP(-LN(2)/25))/(LN(2)/25)*Calculateur!AQ150*Calculateur!AS150*VLOOKUP('Données projet'!$B$10,Paramètres!$A$1:$I$89,3,0)*0.475*44/12</f>
        <v>1.4831563506872893</v>
      </c>
      <c r="AW150" s="23">
        <f>EXP(-LN(2)/2)*AW149+(1-EXP(-LN(2)/2))/(LN(2)/2)*AQ150*AT150*VLOOKUP('Données projet'!$B$10,Paramètres!$A$1:$I$89,3,0)*0.475*44/12</f>
        <v>4.0078744685997683E-17</v>
      </c>
      <c r="AX150" s="23">
        <f t="shared" si="114"/>
        <v>3.0986977002550593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8.5265128291212022E-14</v>
      </c>
      <c r="BE150" s="14">
        <f>BD150*VLOOKUP('Données projet'!$B$11,Paramètres!$A$1:$I$89,3,0)*VLOOKUP('Données projet'!$B$11,Paramètres!$A$1:$I$89,5,0)</f>
        <v>3.990408004028723E-14</v>
      </c>
      <c r="BF150" s="14">
        <f t="shared" si="145"/>
        <v>6.6713074187844705E-13</v>
      </c>
      <c r="BG150" s="22">
        <f t="shared" si="115"/>
        <v>1.2314189815084623E-12</v>
      </c>
      <c r="BH150" s="62">
        <f t="shared" si="116"/>
        <v>293.33333333333456</v>
      </c>
      <c r="BI150" s="62">
        <f ca="1">AVERAGE(OFFSET($BH$3,0,0,'Données projet'!$E$11+1,1))-AVERAGE(OFFSET($H$3,0,0,'Données projet'!$E$11+1,1))</f>
        <v>90.829393941874685</v>
      </c>
      <c r="BJ150" s="62">
        <f t="shared" si="146"/>
        <v>113.5315547498717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0.29641833923635236</v>
      </c>
      <c r="BQ150" s="23">
        <f>EXP(-LN(2)/25)*BQ149+(1-EXP(-LN(2)/25))/(LN(2)/25)*Calculateur!BL150*Calculateur!BN150*VLOOKUP('Données projet'!$B$11,Paramètres!$A$1:$I$89,3,0)*0.475*44/12</f>
        <v>0.22261029010175995</v>
      </c>
      <c r="BR150" s="23">
        <f>EXP(-LN(2)/2)*BR149+(1-EXP(-LN(2)/2))/(LN(2)/2)*BL150*BO150*VLOOKUP('Données projet'!$B$11,Paramètres!$A$1:$I$89,3,0)*0.475*44/12</f>
        <v>5.6777144796499779E-18</v>
      </c>
      <c r="BS150" s="24">
        <f t="shared" si="117"/>
        <v>0.51902862933811234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-1.4897523215040565E-13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211.95495599943246</v>
      </c>
      <c r="CE150" s="62">
        <f t="shared" si="148"/>
        <v>270.47407508916842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0.24569617800556634</v>
      </c>
      <c r="CL150" s="23">
        <f>EXP(-LN(2)/25)*CL149+(1-EXP(-LN(2)/25))/(LN(2)/25)*Calculateur!CG150*Calculateur!CI150*VLOOKUP('Données projet'!$B$12,Paramètres!$A$1:$I$89,3,0)*0.475*44/12</f>
        <v>0.66798687894399267</v>
      </c>
      <c r="CM150" s="23">
        <f>EXP(-LN(2)/2)*CM149+(1-EXP(-LN(2)/2))/(LN(2)/2)*CG150*CJ150*VLOOKUP('Données projet'!$B$12,Paramètres!$A$1:$I$89,3,0)*0.475*44/12</f>
        <v>3.0978391001492619E-17</v>
      </c>
      <c r="CN150" s="24">
        <f t="shared" si="120"/>
        <v>0.91368305694955898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-2.5420376914553347E-13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446.5364328843699</v>
      </c>
      <c r="T151" s="62">
        <f t="shared" si="142"/>
        <v>559.96606361482179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0.52824746425763225</v>
      </c>
      <c r="AA151" s="23">
        <f>EXP(-LN(2)/25)*AA150+(1-EXP(-LN(2)/25))/(LN(2)/25)*Calculateur!V151*Calculateur!X151*VLOOKUP('Données projet'!$B$9,Paramètres!$A$1:$I$89,3,0)*0.475*44/12</f>
        <v>0.40867741798828061</v>
      </c>
      <c r="AB151" s="23">
        <f>EXP(-LN(2)/2)*AB150+(1-EXP(-LN(2)/2))/(LN(2)/2)*V151*Y151*VLOOKUP('Données projet'!$B$9,Paramètres!$A$1:$I$89,3,0)*0.475*44/12</f>
        <v>2.2710753186050146E-17</v>
      </c>
      <c r="AC151" s="24">
        <f t="shared" si="111"/>
        <v>0.93692488224591286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-3.1036506698001178E-14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164.0740581424559</v>
      </c>
      <c r="AO151" s="62">
        <f t="shared" si="144"/>
        <v>280.99861170359793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1.5838615690856708</v>
      </c>
      <c r="AV151" s="23">
        <f>EXP(-LN(2)/25)*AV150+(1-EXP(-LN(2)/25))/(LN(2)/25)*Calculateur!AQ151*Calculateur!AS151*VLOOKUP('Données projet'!$B$10,Paramètres!$A$1:$I$89,3,0)*0.475*44/12</f>
        <v>1.4425993622819426</v>
      </c>
      <c r="AW151" s="23">
        <f>EXP(-LN(2)/2)*AW150+(1-EXP(-LN(2)/2))/(LN(2)/2)*AQ151*AT151*VLOOKUP('Données projet'!$B$10,Paramètres!$A$1:$I$89,3,0)*0.475*44/12</f>
        <v>2.8339952148913267E-17</v>
      </c>
      <c r="AX151" s="23">
        <f t="shared" si="114"/>
        <v>3.0264609313676134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8.5265128291212022E-14</v>
      </c>
      <c r="BE151" s="14">
        <f>BD151*VLOOKUP('Données projet'!$B$11,Paramètres!$A$1:$I$89,3,0)*VLOOKUP('Données projet'!$B$11,Paramètres!$A$1:$I$89,5,0)</f>
        <v>3.990408004028723E-14</v>
      </c>
      <c r="BF151" s="14">
        <f t="shared" si="145"/>
        <v>6.6713074187844705E-13</v>
      </c>
      <c r="BG151" s="22">
        <f t="shared" si="115"/>
        <v>1.2314189815084623E-12</v>
      </c>
      <c r="BH151" s="62">
        <f t="shared" si="116"/>
        <v>293.33333333333456</v>
      </c>
      <c r="BI151" s="62">
        <f ca="1">AVERAGE(OFFSET($BH$3,0,0,'Données projet'!$E$11+1,1))-AVERAGE(OFFSET($H$3,0,0,'Données projet'!$E$11+1,1))</f>
        <v>90.829393941874685</v>
      </c>
      <c r="BJ151" s="62">
        <f t="shared" si="146"/>
        <v>113.5315547498717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0.29060575640126218</v>
      </c>
      <c r="BQ151" s="23">
        <f>EXP(-LN(2)/25)*BQ150+(1-EXP(-LN(2)/25))/(LN(2)/25)*Calculateur!BL151*Calculateur!BN151*VLOOKUP('Données projet'!$B$11,Paramètres!$A$1:$I$89,3,0)*0.475*44/12</f>
        <v>0.21652300001236094</v>
      </c>
      <c r="BR151" s="23">
        <f>EXP(-LN(2)/2)*BR150+(1-EXP(-LN(2)/2))/(LN(2)/2)*BL151*BO151*VLOOKUP('Données projet'!$B$11,Paramètres!$A$1:$I$89,3,0)*0.475*44/12</f>
        <v>4.0147504102015495E-18</v>
      </c>
      <c r="BS151" s="24">
        <f t="shared" si="117"/>
        <v>0.50712875641362309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-1.4897523215040565E-13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211.95495599943246</v>
      </c>
      <c r="CE151" s="62">
        <f t="shared" si="148"/>
        <v>270.47407508916842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0.24087822581474833</v>
      </c>
      <c r="CL151" s="23">
        <f>EXP(-LN(2)/25)*CL150+(1-EXP(-LN(2)/25))/(LN(2)/25)*Calculateur!CG151*Calculateur!CI151*VLOOKUP('Données projet'!$B$12,Paramètres!$A$1:$I$89,3,0)*0.475*44/12</f>
        <v>0.64972074261136592</v>
      </c>
      <c r="CM151" s="23">
        <f>EXP(-LN(2)/2)*CM150+(1-EXP(-LN(2)/2))/(LN(2)/2)*CG151*CJ151*VLOOKUP('Données projet'!$B$12,Paramètres!$A$1:$I$89,3,0)*0.475*44/12</f>
        <v>2.1905030347403754E-17</v>
      </c>
      <c r="CN151" s="24">
        <f t="shared" si="120"/>
        <v>0.89059896842611419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-2.5420376914553347E-13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446.5364328843699</v>
      </c>
      <c r="T152" s="62">
        <f t="shared" si="142"/>
        <v>559.96606361482179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0.51788885368267878</v>
      </c>
      <c r="AA152" s="23">
        <f>EXP(-LN(2)/25)*AA151+(1-EXP(-LN(2)/25))/(LN(2)/25)*Calculateur!V152*Calculateur!X152*VLOOKUP('Données projet'!$B$9,Paramètres!$A$1:$I$89,3,0)*0.475*44/12</f>
        <v>0.3975021125019797</v>
      </c>
      <c r="AB152" s="23">
        <f>EXP(-LN(2)/2)*AB151+(1-EXP(-LN(2)/2))/(LN(2)/2)*V152*Y152*VLOOKUP('Données projet'!$B$9,Paramètres!$A$1:$I$89,3,0)*0.475*44/12</f>
        <v>1.6058927583710047E-17</v>
      </c>
      <c r="AC152" s="24">
        <f t="shared" si="111"/>
        <v>0.91539096618465843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-3.1036506698001178E-14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164.0740581424559</v>
      </c>
      <c r="AO152" s="62">
        <f t="shared" si="144"/>
        <v>280.99861170359793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1.5528030097760674</v>
      </c>
      <c r="AV152" s="23">
        <f>EXP(-LN(2)/25)*AV151+(1-EXP(-LN(2)/25))/(LN(2)/25)*Calculateur!AQ152*Calculateur!AS152*VLOOKUP('Données projet'!$B$10,Paramètres!$A$1:$I$89,3,0)*0.475*44/12</f>
        <v>1.4031514068573396</v>
      </c>
      <c r="AW152" s="23">
        <f>EXP(-LN(2)/2)*AW151+(1-EXP(-LN(2)/2))/(LN(2)/2)*AQ152*AT152*VLOOKUP('Données projet'!$B$10,Paramètres!$A$1:$I$89,3,0)*0.475*44/12</f>
        <v>2.0039372342998841E-17</v>
      </c>
      <c r="AX152" s="23">
        <f t="shared" si="114"/>
        <v>2.9559544166334071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8.5265128291212022E-14</v>
      </c>
      <c r="BE152" s="14">
        <f>BD152*VLOOKUP('Données projet'!$B$11,Paramètres!$A$1:$I$89,3,0)*VLOOKUP('Données projet'!$B$11,Paramètres!$A$1:$I$89,5,0)</f>
        <v>3.990408004028723E-14</v>
      </c>
      <c r="BF152" s="14">
        <f t="shared" si="145"/>
        <v>6.6713074187844705E-13</v>
      </c>
      <c r="BG152" s="22">
        <f t="shared" si="115"/>
        <v>1.2314189815084623E-12</v>
      </c>
      <c r="BH152" s="62">
        <f t="shared" si="116"/>
        <v>293.33333333333456</v>
      </c>
      <c r="BI152" s="62">
        <f ca="1">AVERAGE(OFFSET($BH$3,0,0,'Données projet'!$E$11+1,1))-AVERAGE(OFFSET($H$3,0,0,'Données projet'!$E$11+1,1))</f>
        <v>90.829393941874685</v>
      </c>
      <c r="BJ152" s="62">
        <f t="shared" si="146"/>
        <v>113.5315547498717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0.28490715477024264</v>
      </c>
      <c r="BQ152" s="23">
        <f>EXP(-LN(2)/25)*BQ151+(1-EXP(-LN(2)/25))/(LN(2)/25)*Calculateur!BL152*Calculateur!BN152*VLOOKUP('Données projet'!$B$11,Paramètres!$A$1:$I$89,3,0)*0.475*44/12</f>
        <v>0.21060216719057323</v>
      </c>
      <c r="BR152" s="23">
        <f>EXP(-LN(2)/2)*BR151+(1-EXP(-LN(2)/2))/(LN(2)/2)*BL152*BO152*VLOOKUP('Données projet'!$B$11,Paramètres!$A$1:$I$89,3,0)*0.475*44/12</f>
        <v>2.838857239824989E-18</v>
      </c>
      <c r="BS152" s="24">
        <f t="shared" si="117"/>
        <v>0.49550932196081587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-1.4897523215040565E-13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211.95495599943246</v>
      </c>
      <c r="CE152" s="62">
        <f t="shared" si="148"/>
        <v>270.47407508916842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0.23615475072773159</v>
      </c>
      <c r="CL152" s="23">
        <f>EXP(-LN(2)/25)*CL151+(1-EXP(-LN(2)/25))/(LN(2)/25)*Calculateur!CG152*Calculateur!CI152*VLOOKUP('Données projet'!$B$12,Paramètres!$A$1:$I$89,3,0)*0.475*44/12</f>
        <v>0.63195409473732922</v>
      </c>
      <c r="CM152" s="23">
        <f>EXP(-LN(2)/2)*CM151+(1-EXP(-LN(2)/2))/(LN(2)/2)*CG152*CJ152*VLOOKUP('Données projet'!$B$12,Paramètres!$A$1:$I$89,3,0)*0.475*44/12</f>
        <v>1.5489195500746309E-17</v>
      </c>
      <c r="CN152" s="24">
        <f t="shared" si="120"/>
        <v>0.86810884546506084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-2.5420376914553347E-13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446.5364328843699</v>
      </c>
      <c r="T153" s="62">
        <f t="shared" si="142"/>
        <v>559.96606361482179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0.50773336914297151</v>
      </c>
      <c r="AA153" s="23">
        <f>EXP(-LN(2)/25)*AA152+(1-EXP(-LN(2)/25))/(LN(2)/25)*Calculateur!V153*Calculateur!X153*VLOOKUP('Données projet'!$B$9,Paramètres!$A$1:$I$89,3,0)*0.475*44/12</f>
        <v>0.38663239633188545</v>
      </c>
      <c r="AB153" s="23">
        <f>EXP(-LN(2)/2)*AB152+(1-EXP(-LN(2)/2))/(LN(2)/2)*V153*Y153*VLOOKUP('Données projet'!$B$9,Paramètres!$A$1:$I$89,3,0)*0.475*44/12</f>
        <v>1.1355376593025073E-17</v>
      </c>
      <c r="AC153" s="24">
        <f t="shared" si="111"/>
        <v>0.89436576547485691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-3.1036506698001178E-14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164.0740581424559</v>
      </c>
      <c r="AO153" s="62">
        <f t="shared" si="144"/>
        <v>280.99861170359793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1.5223534898706748</v>
      </c>
      <c r="AV153" s="23">
        <f>EXP(-LN(2)/25)*AV152+(1-EXP(-LN(2)/25))/(LN(2)/25)*Calculateur!AQ153*Calculateur!AS153*VLOOKUP('Données projet'!$B$10,Paramètres!$A$1:$I$89,3,0)*0.475*44/12</f>
        <v>1.3647821578483001</v>
      </c>
      <c r="AW153" s="23">
        <f>EXP(-LN(2)/2)*AW152+(1-EXP(-LN(2)/2))/(LN(2)/2)*AQ153*AT153*VLOOKUP('Données projet'!$B$10,Paramètres!$A$1:$I$89,3,0)*0.475*44/12</f>
        <v>1.4169976074456634E-17</v>
      </c>
      <c r="AX153" s="23">
        <f t="shared" si="114"/>
        <v>2.8871356477189751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8.5265128291212022E-14</v>
      </c>
      <c r="BE153" s="14">
        <f>BD153*VLOOKUP('Données projet'!$B$11,Paramètres!$A$1:$I$89,3,0)*VLOOKUP('Données projet'!$B$11,Paramètres!$A$1:$I$89,5,0)</f>
        <v>3.990408004028723E-14</v>
      </c>
      <c r="BF153" s="14">
        <f t="shared" si="145"/>
        <v>6.6713074187844705E-13</v>
      </c>
      <c r="BG153" s="22">
        <f t="shared" si="115"/>
        <v>1.2314189815084623E-12</v>
      </c>
      <c r="BH153" s="62">
        <f t="shared" si="116"/>
        <v>293.33333333333456</v>
      </c>
      <c r="BI153" s="62">
        <f ca="1">AVERAGE(OFFSET($BH$3,0,0,'Données projet'!$E$11+1,1))-AVERAGE(OFFSET($H$3,0,0,'Données projet'!$E$11+1,1))</f>
        <v>90.829393941874685</v>
      </c>
      <c r="BJ153" s="62">
        <f t="shared" si="146"/>
        <v>113.5315547498717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0.27932029924140361</v>
      </c>
      <c r="BQ153" s="23">
        <f>EXP(-LN(2)/25)*BQ152+(1-EXP(-LN(2)/25))/(LN(2)/25)*Calculateur!BL153*Calculateur!BN153*VLOOKUP('Données projet'!$B$11,Paramètres!$A$1:$I$89,3,0)*0.475*44/12</f>
        <v>0.20484323985366037</v>
      </c>
      <c r="BR153" s="23">
        <f>EXP(-LN(2)/2)*BR152+(1-EXP(-LN(2)/2))/(LN(2)/2)*BL153*BO153*VLOOKUP('Données projet'!$B$11,Paramètres!$A$1:$I$89,3,0)*0.475*44/12</f>
        <v>2.0073752051007747E-18</v>
      </c>
      <c r="BS153" s="24">
        <f t="shared" si="117"/>
        <v>0.48416353909506399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-1.4897523215040565E-13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211.95495599943246</v>
      </c>
      <c r="CE153" s="62">
        <f t="shared" si="148"/>
        <v>270.47407508916842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0.23152390010613594</v>
      </c>
      <c r="CL153" s="23">
        <f>EXP(-LN(2)/25)*CL152+(1-EXP(-LN(2)/25))/(LN(2)/25)*Calculateur!CG153*Calculateur!CI153*VLOOKUP('Données projet'!$B$12,Paramètres!$A$1:$I$89,3,0)*0.475*44/12</f>
        <v>0.61467327678371542</v>
      </c>
      <c r="CM153" s="23">
        <f>EXP(-LN(2)/2)*CM152+(1-EXP(-LN(2)/2))/(LN(2)/2)*CG153*CJ153*VLOOKUP('Données projet'!$B$12,Paramètres!$A$1:$I$89,3,0)*0.475*44/12</f>
        <v>1.0952515173701877E-17</v>
      </c>
      <c r="CN153" s="24">
        <f t="shared" si="120"/>
        <v>0.8461971768898513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-2.5420376914553347E-13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446.5364328843699</v>
      </c>
      <c r="T154" s="62">
        <f t="shared" si="142"/>
        <v>559.96606361482179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0.497777027460854</v>
      </c>
      <c r="AA154" s="23">
        <f>EXP(-LN(2)/25)*AA153+(1-EXP(-LN(2)/25))/(LN(2)/25)*Calculateur!V154*Calculateur!X154*VLOOKUP('Données projet'!$B$9,Paramètres!$A$1:$I$89,3,0)*0.475*44/12</f>
        <v>0.37605991312207598</v>
      </c>
      <c r="AB154" s="23">
        <f>EXP(-LN(2)/2)*AB153+(1-EXP(-LN(2)/2))/(LN(2)/2)*V154*Y154*VLOOKUP('Données projet'!$B$9,Paramètres!$A$1:$I$89,3,0)*0.475*44/12</f>
        <v>8.0294637918550236E-18</v>
      </c>
      <c r="AC154" s="24">
        <f t="shared" ref="AC154:AC203" si="163">SUM(Z154:AB154)</f>
        <v>0.87383694058293004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-3.1036506698001178E-14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164.0740581424559</v>
      </c>
      <c r="AO154" s="62">
        <f t="shared" si="144"/>
        <v>280.99861170359793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1.4925010664782536</v>
      </c>
      <c r="AV154" s="23">
        <f>EXP(-LN(2)/25)*AV153+(1-EXP(-LN(2)/25))/(LN(2)/25)*Calculateur!AQ154*Calculateur!AS154*VLOOKUP('Données projet'!$B$10,Paramètres!$A$1:$I$89,3,0)*0.475*44/12</f>
        <v>1.3274621179711639</v>
      </c>
      <c r="AW154" s="23">
        <f>EXP(-LN(2)/2)*AW153+(1-EXP(-LN(2)/2))/(LN(2)/2)*AQ154*AT154*VLOOKUP('Données projet'!$B$10,Paramètres!$A$1:$I$89,3,0)*0.475*44/12</f>
        <v>1.0019686171499421E-17</v>
      </c>
      <c r="AX154" s="23">
        <f t="shared" ref="AX154:AX203" si="166">SUM(AU154:AW154)</f>
        <v>2.8199631844494175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8.5265128291212022E-14</v>
      </c>
      <c r="BE154" s="14">
        <f>BD154*VLOOKUP('Données projet'!$B$11,Paramètres!$A$1:$I$89,3,0)*VLOOKUP('Données projet'!$B$11,Paramètres!$A$1:$I$89,5,0)</f>
        <v>3.990408004028723E-14</v>
      </c>
      <c r="BF154" s="14">
        <f t="shared" ref="BF154:BF203" si="167">EXP(-1.0587+0.8836*LN(BE154)+0.284)</f>
        <v>6.6713074187844705E-13</v>
      </c>
      <c r="BG154" s="22">
        <f t="shared" ref="BG154:BG203" si="168">(BE154+BF154)*0.475*44/12</f>
        <v>1.2314189815084623E-12</v>
      </c>
      <c r="BH154" s="62">
        <f t="shared" si="116"/>
        <v>293.33333333333456</v>
      </c>
      <c r="BI154" s="62">
        <f ca="1">AVERAGE(OFFSET($BH$3,0,0,'Données projet'!$E$11+1,1))-AVERAGE(OFFSET($H$3,0,0,'Données projet'!$E$11+1,1))</f>
        <v>90.829393941874685</v>
      </c>
      <c r="BJ154" s="62">
        <f t="shared" si="146"/>
        <v>113.5315547498717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0.27384299854183974</v>
      </c>
      <c r="BQ154" s="23">
        <f>EXP(-LN(2)/25)*BQ153+(1-EXP(-LN(2)/25))/(LN(2)/25)*Calculateur!BL154*Calculateur!BN154*VLOOKUP('Données projet'!$B$11,Paramètres!$A$1:$I$89,3,0)*0.475*44/12</f>
        <v>0.19924179068762424</v>
      </c>
      <c r="BR154" s="23">
        <f>EXP(-LN(2)/2)*BR153+(1-EXP(-LN(2)/2))/(LN(2)/2)*BL154*BO154*VLOOKUP('Données projet'!$B$11,Paramètres!$A$1:$I$89,3,0)*0.475*44/12</f>
        <v>1.4194286199124945E-18</v>
      </c>
      <c r="BS154" s="24">
        <f t="shared" ref="BS154:BS203" si="169">SUM(BP154:BR154)</f>
        <v>0.47308478922946395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-1.4897523215040565E-13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211.95495599943246</v>
      </c>
      <c r="CE154" s="62">
        <f t="shared" si="148"/>
        <v>270.47407508916842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0.22698385764068979</v>
      </c>
      <c r="CL154" s="23">
        <f>EXP(-LN(2)/25)*CL153+(1-EXP(-LN(2)/25))/(LN(2)/25)*Calculateur!CG154*Calculateur!CI154*VLOOKUP('Données projet'!$B$12,Paramètres!$A$1:$I$89,3,0)*0.475*44/12</f>
        <v>0.59786500370580198</v>
      </c>
      <c r="CM154" s="23">
        <f>EXP(-LN(2)/2)*CM153+(1-EXP(-LN(2)/2))/(LN(2)/2)*CG154*CJ154*VLOOKUP('Données projet'!$B$12,Paramètres!$A$1:$I$89,3,0)*0.475*44/12</f>
        <v>7.7445977503731546E-18</v>
      </c>
      <c r="CN154" s="24">
        <f t="shared" ref="CN154:CN203" si="172">SUM(CK154:CM154)</f>
        <v>0.82484886134649171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-2.5420376914553347E-13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446.5364328843699</v>
      </c>
      <c r="T155" s="62">
        <f t="shared" si="142"/>
        <v>559.96606361482179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0.48801592356635404</v>
      </c>
      <c r="AA155" s="23">
        <f>EXP(-LN(2)/25)*AA154+(1-EXP(-LN(2)/25))/(LN(2)/25)*Calculateur!V155*Calculateur!X155*VLOOKUP('Données projet'!$B$9,Paramètres!$A$1:$I$89,3,0)*0.475*44/12</f>
        <v>0.3657765350216215</v>
      </c>
      <c r="AB155" s="23">
        <f>EXP(-LN(2)/2)*AB154+(1-EXP(-LN(2)/2))/(LN(2)/2)*V155*Y155*VLOOKUP('Données projet'!$B$9,Paramètres!$A$1:$I$89,3,0)*0.475*44/12</f>
        <v>5.6776882965125365E-18</v>
      </c>
      <c r="AC155" s="24">
        <f t="shared" si="163"/>
        <v>0.85379245858797548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-3.1036506698001178E-14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164.0740581424559</v>
      </c>
      <c r="AO155" s="62">
        <f t="shared" si="144"/>
        <v>280.99861170359793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1.4632340309003775</v>
      </c>
      <c r="AV155" s="23">
        <f>EXP(-LN(2)/25)*AV154+(1-EXP(-LN(2)/25))/(LN(2)/25)*Calculateur!AQ155*Calculateur!AS155*VLOOKUP('Données projet'!$B$10,Paramètres!$A$1:$I$89,3,0)*0.475*44/12</f>
        <v>1.2911625965470435</v>
      </c>
      <c r="AW155" s="23">
        <f>EXP(-LN(2)/2)*AW154+(1-EXP(-LN(2)/2))/(LN(2)/2)*AQ155*AT155*VLOOKUP('Données projet'!$B$10,Paramètres!$A$1:$I$89,3,0)*0.475*44/12</f>
        <v>7.0849880372283169E-18</v>
      </c>
      <c r="AX155" s="23">
        <f t="shared" si="166"/>
        <v>2.754396627447421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8.5265128291212022E-14</v>
      </c>
      <c r="BE155" s="14">
        <f>BD155*VLOOKUP('Données projet'!$B$11,Paramètres!$A$1:$I$89,3,0)*VLOOKUP('Données projet'!$B$11,Paramètres!$A$1:$I$89,5,0)</f>
        <v>3.990408004028723E-14</v>
      </c>
      <c r="BF155" s="14">
        <f t="shared" si="167"/>
        <v>6.6713074187844705E-13</v>
      </c>
      <c r="BG155" s="22">
        <f t="shared" si="168"/>
        <v>1.2314189815084623E-12</v>
      </c>
      <c r="BH155" s="62">
        <f t="shared" si="116"/>
        <v>293.33333333333456</v>
      </c>
      <c r="BI155" s="62">
        <f ca="1">AVERAGE(OFFSET($BH$3,0,0,'Données projet'!$E$11+1,1))-AVERAGE(OFFSET($H$3,0,0,'Données projet'!$E$11+1,1))</f>
        <v>90.829393941874685</v>
      </c>
      <c r="BJ155" s="62">
        <f t="shared" si="146"/>
        <v>113.5315547498717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0.26847310436817073</v>
      </c>
      <c r="BQ155" s="23">
        <f>EXP(-LN(2)/25)*BQ154+(1-EXP(-LN(2)/25))/(LN(2)/25)*Calculateur!BL155*Calculateur!BN155*VLOOKUP('Données projet'!$B$11,Paramètres!$A$1:$I$89,3,0)*0.475*44/12</f>
        <v>0.19379351344360074</v>
      </c>
      <c r="BR155" s="23">
        <f>EXP(-LN(2)/2)*BR154+(1-EXP(-LN(2)/2))/(LN(2)/2)*BL155*BO155*VLOOKUP('Données projet'!$B$11,Paramètres!$A$1:$I$89,3,0)*0.475*44/12</f>
        <v>1.0036876025503874E-18</v>
      </c>
      <c r="BS155" s="24">
        <f t="shared" si="169"/>
        <v>0.46226661781177147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-1.4897523215040565E-13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211.95495599943246</v>
      </c>
      <c r="CE155" s="62">
        <f t="shared" si="148"/>
        <v>270.47407508916842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0.22253284263883857</v>
      </c>
      <c r="CL155" s="23">
        <f>EXP(-LN(2)/25)*CL154+(1-EXP(-LN(2)/25))/(LN(2)/25)*Calculateur!CG155*Calculateur!CI155*VLOOKUP('Données projet'!$B$12,Paramètres!$A$1:$I$89,3,0)*0.475*44/12</f>
        <v>0.5815163537391127</v>
      </c>
      <c r="CM155" s="23">
        <f>EXP(-LN(2)/2)*CM154+(1-EXP(-LN(2)/2))/(LN(2)/2)*CG155*CJ155*VLOOKUP('Données projet'!$B$12,Paramètres!$A$1:$I$89,3,0)*0.475*44/12</f>
        <v>5.4762575868509385E-18</v>
      </c>
      <c r="CN155" s="24">
        <f t="shared" si="172"/>
        <v>0.80404919637795125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-2.5420376914553347E-13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446.5364328843699</v>
      </c>
      <c r="T156" s="62">
        <f t="shared" si="142"/>
        <v>559.96606361482179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0.47844622896553968</v>
      </c>
      <c r="AA156" s="23">
        <f>EXP(-LN(2)/25)*AA155+(1-EXP(-LN(2)/25))/(LN(2)/25)*Calculateur!V156*Calculateur!X156*VLOOKUP('Données projet'!$B$9,Paramètres!$A$1:$I$89,3,0)*0.475*44/12</f>
        <v>0.35577435643610328</v>
      </c>
      <c r="AB156" s="23">
        <f>EXP(-LN(2)/2)*AB155+(1-EXP(-LN(2)/2))/(LN(2)/2)*V156*Y156*VLOOKUP('Données projet'!$B$9,Paramètres!$A$1:$I$89,3,0)*0.475*44/12</f>
        <v>4.0147318959275118E-18</v>
      </c>
      <c r="AC156" s="24">
        <f t="shared" si="163"/>
        <v>0.8342205854016429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-3.1036506698001178E-14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164.0740581424559</v>
      </c>
      <c r="AO156" s="62">
        <f t="shared" si="144"/>
        <v>280.99861170359793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1.4345409040390544</v>
      </c>
      <c r="AV156" s="23">
        <f>EXP(-LN(2)/25)*AV155+(1-EXP(-LN(2)/25))/(LN(2)/25)*Calculateur!AQ156*Calculateur!AS156*VLOOKUP('Données projet'!$B$10,Paramètres!$A$1:$I$89,3,0)*0.475*44/12</f>
        <v>1.2558556874451745</v>
      </c>
      <c r="AW156" s="23">
        <f>EXP(-LN(2)/2)*AW155+(1-EXP(-LN(2)/2))/(LN(2)/2)*AQ156*AT156*VLOOKUP('Données projet'!$B$10,Paramètres!$A$1:$I$89,3,0)*0.475*44/12</f>
        <v>5.0098430857497103E-18</v>
      </c>
      <c r="AX156" s="23">
        <f t="shared" si="166"/>
        <v>2.6903965914842289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8.5265128291212022E-14</v>
      </c>
      <c r="BE156" s="14">
        <f>BD156*VLOOKUP('Données projet'!$B$11,Paramètres!$A$1:$I$89,3,0)*VLOOKUP('Données projet'!$B$11,Paramètres!$A$1:$I$89,5,0)</f>
        <v>3.990408004028723E-14</v>
      </c>
      <c r="BF156" s="14">
        <f t="shared" si="167"/>
        <v>6.6713074187844705E-13</v>
      </c>
      <c r="BG156" s="22">
        <f t="shared" si="168"/>
        <v>1.2314189815084623E-12</v>
      </c>
      <c r="BH156" s="62">
        <f t="shared" si="116"/>
        <v>293.33333333333456</v>
      </c>
      <c r="BI156" s="62">
        <f ca="1">AVERAGE(OFFSET($BH$3,0,0,'Données projet'!$E$11+1,1))-AVERAGE(OFFSET($H$3,0,0,'Données projet'!$E$11+1,1))</f>
        <v>90.829393941874685</v>
      </c>
      <c r="BJ156" s="62">
        <f t="shared" si="146"/>
        <v>113.5315547498717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0.26320851054393535</v>
      </c>
      <c r="BQ156" s="23">
        <f>EXP(-LN(2)/25)*BQ155+(1-EXP(-LN(2)/25))/(LN(2)/25)*Calculateur!BL156*Calculateur!BN156*VLOOKUP('Données projet'!$B$11,Paramètres!$A$1:$I$89,3,0)*0.475*44/12</f>
        <v>0.18849421962732751</v>
      </c>
      <c r="BR156" s="23">
        <f>EXP(-LN(2)/2)*BR155+(1-EXP(-LN(2)/2))/(LN(2)/2)*BL156*BO156*VLOOKUP('Données projet'!$B$11,Paramètres!$A$1:$I$89,3,0)*0.475*44/12</f>
        <v>7.0971430995624724E-19</v>
      </c>
      <c r="BS156" s="24">
        <f t="shared" si="169"/>
        <v>0.45170273017126283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-1.4897523215040565E-13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211.95495599943246</v>
      </c>
      <c r="CE156" s="62">
        <f t="shared" si="148"/>
        <v>270.47407508916842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0.21816910932632258</v>
      </c>
      <c r="CL156" s="23">
        <f>EXP(-LN(2)/25)*CL155+(1-EXP(-LN(2)/25))/(LN(2)/25)*Calculateur!CG156*Calculateur!CI156*VLOOKUP('Données projet'!$B$12,Paramètres!$A$1:$I$89,3,0)*0.475*44/12</f>
        <v>0.56561475846550069</v>
      </c>
      <c r="CM156" s="23">
        <f>EXP(-LN(2)/2)*CM155+(1-EXP(-LN(2)/2))/(LN(2)/2)*CG156*CJ156*VLOOKUP('Données projet'!$B$12,Paramètres!$A$1:$I$89,3,0)*0.475*44/12</f>
        <v>3.8722988751865773E-18</v>
      </c>
      <c r="CN156" s="24">
        <f t="shared" si="172"/>
        <v>0.7837838677918233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-2.5420376914553347E-13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446.5364328843699</v>
      </c>
      <c r="T157" s="62">
        <f t="shared" si="142"/>
        <v>559.96606361482179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0.46906419023890994</v>
      </c>
      <c r="AA157" s="23">
        <f>EXP(-LN(2)/25)*AA156+(1-EXP(-LN(2)/25))/(LN(2)/25)*Calculateur!V157*Calculateur!X157*VLOOKUP('Données projet'!$B$9,Paramètres!$A$1:$I$89,3,0)*0.475*44/12</f>
        <v>0.34604568794999774</v>
      </c>
      <c r="AB157" s="23">
        <f>EXP(-LN(2)/2)*AB156+(1-EXP(-LN(2)/2))/(LN(2)/2)*V157*Y157*VLOOKUP('Données projet'!$B$9,Paramètres!$A$1:$I$89,3,0)*0.475*44/12</f>
        <v>2.8388441482562682E-18</v>
      </c>
      <c r="AC157" s="24">
        <f t="shared" si="163"/>
        <v>0.81510987818890768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-3.1036506698001178E-14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164.0740581424559</v>
      </c>
      <c r="AO157" s="62">
        <f t="shared" si="144"/>
        <v>280.99861170359793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1.4064104318944026</v>
      </c>
      <c r="AV157" s="23">
        <f>EXP(-LN(2)/25)*AV156+(1-EXP(-LN(2)/25))/(LN(2)/25)*Calculateur!AQ157*Calculateur!AS157*VLOOKUP('Données projet'!$B$10,Paramètres!$A$1:$I$89,3,0)*0.475*44/12</f>
        <v>1.2215142476294059</v>
      </c>
      <c r="AW157" s="23">
        <f>EXP(-LN(2)/2)*AW156+(1-EXP(-LN(2)/2))/(LN(2)/2)*AQ157*AT157*VLOOKUP('Données projet'!$B$10,Paramètres!$A$1:$I$89,3,0)*0.475*44/12</f>
        <v>3.5424940186141584E-18</v>
      </c>
      <c r="AX157" s="23">
        <f t="shared" si="166"/>
        <v>2.6279246795238085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8.5265128291212022E-14</v>
      </c>
      <c r="BE157" s="14">
        <f>BD157*VLOOKUP('Données projet'!$B$11,Paramètres!$A$1:$I$89,3,0)*VLOOKUP('Données projet'!$B$11,Paramètres!$A$1:$I$89,5,0)</f>
        <v>3.990408004028723E-14</v>
      </c>
      <c r="BF157" s="14">
        <f t="shared" si="167"/>
        <v>6.6713074187844705E-13</v>
      </c>
      <c r="BG157" s="22">
        <f t="shared" si="168"/>
        <v>1.2314189815084623E-12</v>
      </c>
      <c r="BH157" s="62">
        <f t="shared" si="116"/>
        <v>293.33333333333456</v>
      </c>
      <c r="BI157" s="62">
        <f ca="1">AVERAGE(OFFSET($BH$3,0,0,'Données projet'!$E$11+1,1))-AVERAGE(OFFSET($H$3,0,0,'Données projet'!$E$11+1,1))</f>
        <v>90.829393941874685</v>
      </c>
      <c r="BJ157" s="62">
        <f t="shared" si="146"/>
        <v>113.5315547498717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0.25804715219350804</v>
      </c>
      <c r="BQ157" s="23">
        <f>EXP(-LN(2)/25)*BQ156+(1-EXP(-LN(2)/25))/(LN(2)/25)*Calculateur!BL157*Calculateur!BN157*VLOOKUP('Données projet'!$B$11,Paramètres!$A$1:$I$89,3,0)*0.475*44/12</f>
        <v>0.18333983527913805</v>
      </c>
      <c r="BR157" s="23">
        <f>EXP(-LN(2)/2)*BR156+(1-EXP(-LN(2)/2))/(LN(2)/2)*BL157*BO157*VLOOKUP('Données projet'!$B$11,Paramètres!$A$1:$I$89,3,0)*0.475*44/12</f>
        <v>5.0184380127519369E-19</v>
      </c>
      <c r="BS157" s="24">
        <f t="shared" si="169"/>
        <v>0.4413869874726461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-1.4897523215040565E-13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211.95495599943246</v>
      </c>
      <c r="CE157" s="62">
        <f t="shared" si="148"/>
        <v>270.47407508916842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0.21389094616245052</v>
      </c>
      <c r="CL157" s="23">
        <f>EXP(-LN(2)/25)*CL156+(1-EXP(-LN(2)/25))/(LN(2)/25)*Calculateur!CG157*Calculateur!CI157*VLOOKUP('Données projet'!$B$12,Paramètres!$A$1:$I$89,3,0)*0.475*44/12</f>
        <v>0.55014799315087415</v>
      </c>
      <c r="CM157" s="23">
        <f>EXP(-LN(2)/2)*CM156+(1-EXP(-LN(2)/2))/(LN(2)/2)*CG157*CJ157*VLOOKUP('Données projet'!$B$12,Paramètres!$A$1:$I$89,3,0)*0.475*44/12</f>
        <v>2.7381287934254693E-18</v>
      </c>
      <c r="CN157" s="24">
        <f t="shared" si="172"/>
        <v>0.76403893931332467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-2.5420376914553347E-13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446.5364328843699</v>
      </c>
      <c r="T158" s="62">
        <f t="shared" si="142"/>
        <v>559.96606361482179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0.45986612756923084</v>
      </c>
      <c r="AA158" s="23">
        <f>EXP(-LN(2)/25)*AA157+(1-EXP(-LN(2)/25))/(LN(2)/25)*Calculateur!V158*Calculateur!X158*VLOOKUP('Données projet'!$B$9,Paramètres!$A$1:$I$89,3,0)*0.475*44/12</f>
        <v>0.33658305041525322</v>
      </c>
      <c r="AB158" s="23">
        <f>EXP(-LN(2)/2)*AB157+(1-EXP(-LN(2)/2))/(LN(2)/2)*V158*Y158*VLOOKUP('Données projet'!$B$9,Paramètres!$A$1:$I$89,3,0)*0.475*44/12</f>
        <v>2.0073659479637559E-18</v>
      </c>
      <c r="AC158" s="24">
        <f t="shared" si="163"/>
        <v>0.796449177984484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-3.1036506698001178E-14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164.0740581424559</v>
      </c>
      <c r="AO158" s="62">
        <f t="shared" si="144"/>
        <v>280.99861170359793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1.3788315811506135</v>
      </c>
      <c r="AV158" s="23">
        <f>EXP(-LN(2)/25)*AV157+(1-EXP(-LN(2)/25))/(LN(2)/25)*Calculateur!AQ158*Calculateur!AS158*VLOOKUP('Données projet'!$B$10,Paramètres!$A$1:$I$89,3,0)*0.475*44/12</f>
        <v>1.1881118762913372</v>
      </c>
      <c r="AW158" s="23">
        <f>EXP(-LN(2)/2)*AW157+(1-EXP(-LN(2)/2))/(LN(2)/2)*AQ158*AT158*VLOOKUP('Données projet'!$B$10,Paramètres!$A$1:$I$89,3,0)*0.475*44/12</f>
        <v>2.5049215428748552E-18</v>
      </c>
      <c r="AX158" s="23">
        <f t="shared" si="166"/>
        <v>2.5669434574419507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8.5265128291212022E-14</v>
      </c>
      <c r="BE158" s="14">
        <f>BD158*VLOOKUP('Données projet'!$B$11,Paramètres!$A$1:$I$89,3,0)*VLOOKUP('Données projet'!$B$11,Paramètres!$A$1:$I$89,5,0)</f>
        <v>3.990408004028723E-14</v>
      </c>
      <c r="BF158" s="14">
        <f t="shared" si="167"/>
        <v>6.6713074187844705E-13</v>
      </c>
      <c r="BG158" s="22">
        <f t="shared" si="168"/>
        <v>1.2314189815084623E-12</v>
      </c>
      <c r="BH158" s="62">
        <f t="shared" si="116"/>
        <v>293.33333333333456</v>
      </c>
      <c r="BI158" s="62">
        <f ca="1">AVERAGE(OFFSET($BH$3,0,0,'Données projet'!$E$11+1,1))-AVERAGE(OFFSET($H$3,0,0,'Données projet'!$E$11+1,1))</f>
        <v>90.829393941874685</v>
      </c>
      <c r="BJ158" s="62">
        <f t="shared" si="146"/>
        <v>113.5315547498717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0.25298700493221488</v>
      </c>
      <c r="BQ158" s="23">
        <f>EXP(-LN(2)/25)*BQ157+(1-EXP(-LN(2)/25))/(LN(2)/25)*Calculateur!BL158*Calculateur!BN158*VLOOKUP('Données projet'!$B$11,Paramètres!$A$1:$I$89,3,0)*0.475*44/12</f>
        <v>0.1783263978420071</v>
      </c>
      <c r="BR158" s="23">
        <f>EXP(-LN(2)/2)*BR157+(1-EXP(-LN(2)/2))/(LN(2)/2)*BL158*BO158*VLOOKUP('Données projet'!$B$11,Paramètres!$A$1:$I$89,3,0)*0.475*44/12</f>
        <v>3.5485715497812362E-19</v>
      </c>
      <c r="BS158" s="24">
        <f t="shared" si="169"/>
        <v>0.43131340277422198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-1.4897523215040565E-13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211.95495599943246</v>
      </c>
      <c r="CE158" s="62">
        <f t="shared" si="148"/>
        <v>270.47407508916842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0.20969667516880011</v>
      </c>
      <c r="CL158" s="23">
        <f>EXP(-LN(2)/25)*CL157+(1-EXP(-LN(2)/25))/(LN(2)/25)*Calculateur!CG158*Calculateur!CI158*VLOOKUP('Données projet'!$B$12,Paramètres!$A$1:$I$89,3,0)*0.475*44/12</f>
        <v>0.53510416734713795</v>
      </c>
      <c r="CM158" s="23">
        <f>EXP(-LN(2)/2)*CM157+(1-EXP(-LN(2)/2))/(LN(2)/2)*CG158*CJ158*VLOOKUP('Données projet'!$B$12,Paramètres!$A$1:$I$89,3,0)*0.475*44/12</f>
        <v>1.9361494375932887E-18</v>
      </c>
      <c r="CN158" s="24">
        <f t="shared" si="172"/>
        <v>0.74480084251593803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-2.5420376914553347E-13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446.5364328843699</v>
      </c>
      <c r="T159" s="62">
        <f t="shared" si="142"/>
        <v>559.96606361482179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0.45084843329823987</v>
      </c>
      <c r="AA159" s="23">
        <f>EXP(-LN(2)/25)*AA158+(1-EXP(-LN(2)/25))/(LN(2)/25)*Calculateur!V159*Calculateur!X159*VLOOKUP('Données projet'!$B$9,Paramètres!$A$1:$I$89,3,0)*0.475*44/12</f>
        <v>0.32737916920151477</v>
      </c>
      <c r="AB159" s="23">
        <f>EXP(-LN(2)/2)*AB158+(1-EXP(-LN(2)/2))/(LN(2)/2)*V159*Y159*VLOOKUP('Données projet'!$B$9,Paramètres!$A$1:$I$89,3,0)*0.475*44/12</f>
        <v>1.4194220741281341E-18</v>
      </c>
      <c r="AC159" s="24">
        <f t="shared" si="163"/>
        <v>0.77822760249975464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-3.1036506698001178E-14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164.0740581424559</v>
      </c>
      <c r="AO159" s="62">
        <f t="shared" si="144"/>
        <v>280.99861170359793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1.3517935348484722</v>
      </c>
      <c r="AV159" s="23">
        <f>EXP(-LN(2)/25)*AV158+(1-EXP(-LN(2)/25))/(LN(2)/25)*Calculateur!AQ159*Calculateur!AS159*VLOOKUP('Données projet'!$B$10,Paramètres!$A$1:$I$89,3,0)*0.475*44/12</f>
        <v>1.1556228945540625</v>
      </c>
      <c r="AW159" s="23">
        <f>EXP(-LN(2)/2)*AW158+(1-EXP(-LN(2)/2))/(LN(2)/2)*AQ159*AT159*VLOOKUP('Données projet'!$B$10,Paramètres!$A$1:$I$89,3,0)*0.475*44/12</f>
        <v>1.7712470093070792E-18</v>
      </c>
      <c r="AX159" s="23">
        <f t="shared" si="166"/>
        <v>2.507416429402535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8.5265128291212022E-14</v>
      </c>
      <c r="BE159" s="14">
        <f>BD159*VLOOKUP('Données projet'!$B$11,Paramètres!$A$1:$I$89,3,0)*VLOOKUP('Données projet'!$B$11,Paramètres!$A$1:$I$89,5,0)</f>
        <v>3.990408004028723E-14</v>
      </c>
      <c r="BF159" s="14">
        <f t="shared" si="167"/>
        <v>6.6713074187844705E-13</v>
      </c>
      <c r="BG159" s="22">
        <f t="shared" si="168"/>
        <v>1.2314189815084623E-12</v>
      </c>
      <c r="BH159" s="62">
        <f t="shared" si="116"/>
        <v>293.33333333333456</v>
      </c>
      <c r="BI159" s="62">
        <f ca="1">AVERAGE(OFFSET($BH$3,0,0,'Données projet'!$E$11+1,1))-AVERAGE(OFFSET($H$3,0,0,'Données projet'!$E$11+1,1))</f>
        <v>90.829393941874685</v>
      </c>
      <c r="BJ159" s="62">
        <f t="shared" si="146"/>
        <v>113.5315547498717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0.24802608407233062</v>
      </c>
      <c r="BQ159" s="23">
        <f>EXP(-LN(2)/25)*BQ158+(1-EXP(-LN(2)/25))/(LN(2)/25)*Calculateur!BL159*Calculateur!BN159*VLOOKUP('Données projet'!$B$11,Paramètres!$A$1:$I$89,3,0)*0.475*44/12</f>
        <v>0.17345005311523973</v>
      </c>
      <c r="BR159" s="23">
        <f>EXP(-LN(2)/2)*BR158+(1-EXP(-LN(2)/2))/(LN(2)/2)*BL159*BO159*VLOOKUP('Données projet'!$B$11,Paramètres!$A$1:$I$89,3,0)*0.475*44/12</f>
        <v>2.5092190063759684E-19</v>
      </c>
      <c r="BS159" s="24">
        <f t="shared" si="169"/>
        <v>0.42147613718757038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-1.4897523215040565E-13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211.95495599943246</v>
      </c>
      <c r="CE159" s="62">
        <f t="shared" si="148"/>
        <v>270.47407508916842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0.2055846512710825</v>
      </c>
      <c r="CL159" s="23">
        <f>EXP(-LN(2)/25)*CL158+(1-EXP(-LN(2)/25))/(LN(2)/25)*Calculateur!CG159*Calculateur!CI159*VLOOKUP('Données projet'!$B$12,Paramètres!$A$1:$I$89,3,0)*0.475*44/12</f>
        <v>0.52047171575112527</v>
      </c>
      <c r="CM159" s="23">
        <f>EXP(-LN(2)/2)*CM158+(1-EXP(-LN(2)/2))/(LN(2)/2)*CG159*CJ159*VLOOKUP('Données projet'!$B$12,Paramètres!$A$1:$I$89,3,0)*0.475*44/12</f>
        <v>1.3690643967127346E-18</v>
      </c>
      <c r="CN159" s="24">
        <f t="shared" si="172"/>
        <v>0.72605636702220777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-2.5420376914553347E-13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446.5364328843699</v>
      </c>
      <c r="T160" s="62">
        <f t="shared" si="142"/>
        <v>559.96606361482179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0.44200757051165263</v>
      </c>
      <c r="AA160" s="23">
        <f>EXP(-LN(2)/25)*AA159+(1-EXP(-LN(2)/25))/(LN(2)/25)*Calculateur!V160*Calculateur!X160*VLOOKUP('Données projet'!$B$9,Paramètres!$A$1:$I$89,3,0)*0.475*44/12</f>
        <v>0.31842696860357705</v>
      </c>
      <c r="AB160" s="23">
        <f>EXP(-LN(2)/2)*AB159+(1-EXP(-LN(2)/2))/(LN(2)/2)*V160*Y160*VLOOKUP('Données projet'!$B$9,Paramètres!$A$1:$I$89,3,0)*0.475*44/12</f>
        <v>1.0036829739818779E-18</v>
      </c>
      <c r="AC160" s="24">
        <f t="shared" si="163"/>
        <v>0.76043453911522962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-3.1036506698001178E-14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164.0740581424559</v>
      </c>
      <c r="AO160" s="62">
        <f t="shared" si="144"/>
        <v>280.99861170359793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1.325285688142736</v>
      </c>
      <c r="AV160" s="23">
        <f>EXP(-LN(2)/25)*AV159+(1-EXP(-LN(2)/25))/(LN(2)/25)*Calculateur!AQ160*Calculateur!AS160*VLOOKUP('Données projet'!$B$10,Paramètres!$A$1:$I$89,3,0)*0.475*44/12</f>
        <v>1.124022325730915</v>
      </c>
      <c r="AW160" s="23">
        <f>EXP(-LN(2)/2)*AW159+(1-EXP(-LN(2)/2))/(LN(2)/2)*AQ160*AT160*VLOOKUP('Données projet'!$B$10,Paramètres!$A$1:$I$89,3,0)*0.475*44/12</f>
        <v>1.2524607714374276E-18</v>
      </c>
      <c r="AX160" s="23">
        <f t="shared" si="166"/>
        <v>2.4493080138736509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8.5265128291212022E-14</v>
      </c>
      <c r="BE160" s="14">
        <f>BD160*VLOOKUP('Données projet'!$B$11,Paramètres!$A$1:$I$89,3,0)*VLOOKUP('Données projet'!$B$11,Paramètres!$A$1:$I$89,5,0)</f>
        <v>3.990408004028723E-14</v>
      </c>
      <c r="BF160" s="14">
        <f t="shared" si="167"/>
        <v>6.6713074187844705E-13</v>
      </c>
      <c r="BG160" s="22">
        <f t="shared" si="168"/>
        <v>1.2314189815084623E-12</v>
      </c>
      <c r="BH160" s="62">
        <f t="shared" si="116"/>
        <v>293.33333333333456</v>
      </c>
      <c r="BI160" s="62">
        <f ca="1">AVERAGE(OFFSET($BH$3,0,0,'Données projet'!$E$11+1,1))-AVERAGE(OFFSET($H$3,0,0,'Données projet'!$E$11+1,1))</f>
        <v>90.829393941874685</v>
      </c>
      <c r="BJ160" s="62">
        <f t="shared" si="146"/>
        <v>113.5315547498717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0.24316244384464575</v>
      </c>
      <c r="BQ160" s="23">
        <f>EXP(-LN(2)/25)*BQ159+(1-EXP(-LN(2)/25))/(LN(2)/25)*Calculateur!BL160*Calculateur!BN160*VLOOKUP('Données projet'!$B$11,Paramètres!$A$1:$I$89,3,0)*0.475*44/12</f>
        <v>0.16870705229146163</v>
      </c>
      <c r="BR160" s="23">
        <f>EXP(-LN(2)/2)*BR159+(1-EXP(-LN(2)/2))/(LN(2)/2)*BL160*BO160*VLOOKUP('Données projet'!$B$11,Paramètres!$A$1:$I$89,3,0)*0.475*44/12</f>
        <v>1.7742857748906181E-19</v>
      </c>
      <c r="BS160" s="24">
        <f t="shared" si="169"/>
        <v>0.41186949613610735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-1.4897523215040565E-13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211.95495599943246</v>
      </c>
      <c r="CE160" s="62">
        <f t="shared" si="148"/>
        <v>270.47407508916842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0.20155326165391219</v>
      </c>
      <c r="CL160" s="23">
        <f>EXP(-LN(2)/25)*CL159+(1-EXP(-LN(2)/25))/(LN(2)/25)*Calculateur!CG160*Calculateur!CI160*VLOOKUP('Données projet'!$B$12,Paramètres!$A$1:$I$89,3,0)*0.475*44/12</f>
        <v>0.50623938931349277</v>
      </c>
      <c r="CM160" s="23">
        <f>EXP(-LN(2)/2)*CM159+(1-EXP(-LN(2)/2))/(LN(2)/2)*CG160*CJ160*VLOOKUP('Données projet'!$B$12,Paramètres!$A$1:$I$89,3,0)*0.475*44/12</f>
        <v>9.6807471879664433E-19</v>
      </c>
      <c r="CN160" s="24">
        <f t="shared" si="172"/>
        <v>0.70779265096740496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-2.5420376914553347E-13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446.5364328843699</v>
      </c>
      <c r="T161" s="62">
        <f t="shared" si="142"/>
        <v>559.96606361482179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0.43334007165191651</v>
      </c>
      <c r="AA161" s="23">
        <f>EXP(-LN(2)/25)*AA160+(1-EXP(-LN(2)/25))/(LN(2)/25)*Calculateur!V161*Calculateur!X161*VLOOKUP('Données projet'!$B$9,Paramètres!$A$1:$I$89,3,0)*0.475*44/12</f>
        <v>0.30971956640176573</v>
      </c>
      <c r="AB161" s="23">
        <f>EXP(-LN(2)/2)*AB160+(1-EXP(-LN(2)/2))/(LN(2)/2)*V161*Y161*VLOOKUP('Données projet'!$B$9,Paramètres!$A$1:$I$89,3,0)*0.475*44/12</f>
        <v>7.0971103706406706E-19</v>
      </c>
      <c r="AC161" s="24">
        <f t="shared" si="163"/>
        <v>0.74305963805368225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-3.1036506698001178E-14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164.0740581424559</v>
      </c>
      <c r="AO161" s="62">
        <f t="shared" si="144"/>
        <v>280.99861170359793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1.2992976441427093</v>
      </c>
      <c r="AV161" s="23">
        <f>EXP(-LN(2)/25)*AV160+(1-EXP(-LN(2)/25))/(LN(2)/25)*Calculateur!AQ161*Calculateur!AS161*VLOOKUP('Données projet'!$B$10,Paramètres!$A$1:$I$89,3,0)*0.475*44/12</f>
        <v>1.093285876124038</v>
      </c>
      <c r="AW161" s="23">
        <f>EXP(-LN(2)/2)*AW160+(1-EXP(-LN(2)/2))/(LN(2)/2)*AQ161*AT161*VLOOKUP('Données projet'!$B$10,Paramètres!$A$1:$I$89,3,0)*0.475*44/12</f>
        <v>8.8562350465353961E-19</v>
      </c>
      <c r="AX161" s="23">
        <f t="shared" si="166"/>
        <v>2.3925835202667471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8.5265128291212022E-14</v>
      </c>
      <c r="BE161" s="14">
        <f>BD161*VLOOKUP('Données projet'!$B$11,Paramètres!$A$1:$I$89,3,0)*VLOOKUP('Données projet'!$B$11,Paramètres!$A$1:$I$89,5,0)</f>
        <v>3.990408004028723E-14</v>
      </c>
      <c r="BF161" s="14">
        <f t="shared" si="167"/>
        <v>6.6713074187844705E-13</v>
      </c>
      <c r="BG161" s="22">
        <f t="shared" si="168"/>
        <v>1.2314189815084623E-12</v>
      </c>
      <c r="BH161" s="62">
        <f t="shared" si="116"/>
        <v>293.33333333333456</v>
      </c>
      <c r="BI161" s="62">
        <f ca="1">AVERAGE(OFFSET($BH$3,0,0,'Données projet'!$E$11+1,1))-AVERAGE(OFFSET($H$3,0,0,'Données projet'!$E$11+1,1))</f>
        <v>90.829393941874685</v>
      </c>
      <c r="BJ161" s="62">
        <f t="shared" si="146"/>
        <v>113.5315547498717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0.23839417663529816</v>
      </c>
      <c r="BQ161" s="23">
        <f>EXP(-LN(2)/25)*BQ160+(1-EXP(-LN(2)/25))/(LN(2)/25)*Calculateur!BL161*Calculateur!BN161*VLOOKUP('Données projet'!$B$11,Paramètres!$A$1:$I$89,3,0)*0.475*44/12</f>
        <v>0.16409374907463331</v>
      </c>
      <c r="BR161" s="23">
        <f>EXP(-LN(2)/2)*BR160+(1-EXP(-LN(2)/2))/(LN(2)/2)*BL161*BO161*VLOOKUP('Données projet'!$B$11,Paramètres!$A$1:$I$89,3,0)*0.475*44/12</f>
        <v>1.2546095031879842E-19</v>
      </c>
      <c r="BS161" s="24">
        <f t="shared" si="169"/>
        <v>0.40248792570993147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-1.4897523215040565E-13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211.95495599943246</v>
      </c>
      <c r="CE161" s="62">
        <f t="shared" si="148"/>
        <v>270.47407508916842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0.19760092512822972</v>
      </c>
      <c r="CL161" s="23">
        <f>EXP(-LN(2)/25)*CL160+(1-EXP(-LN(2)/25))/(LN(2)/25)*Calculateur!CG161*Calculateur!CI161*VLOOKUP('Données projet'!$B$12,Paramètres!$A$1:$I$89,3,0)*0.475*44/12</f>
        <v>0.49239624659074288</v>
      </c>
      <c r="CM161" s="23">
        <f>EXP(-LN(2)/2)*CM160+(1-EXP(-LN(2)/2))/(LN(2)/2)*CG161*CJ161*VLOOKUP('Données projet'!$B$12,Paramètres!$A$1:$I$89,3,0)*0.475*44/12</f>
        <v>6.8453219835636731E-19</v>
      </c>
      <c r="CN161" s="24">
        <f t="shared" si="172"/>
        <v>0.68999717171897257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-2.5420376914553347E-13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446.5364328843699</v>
      </c>
      <c r="T162" s="62">
        <f t="shared" si="142"/>
        <v>559.96606361482179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0.42484253715816755</v>
      </c>
      <c r="AA162" s="23">
        <f>EXP(-LN(2)/25)*AA161+(1-EXP(-LN(2)/25))/(LN(2)/25)*Calculateur!V162*Calculateur!X162*VLOOKUP('Données projet'!$B$9,Paramètres!$A$1:$I$89,3,0)*0.475*44/12</f>
        <v>0.30125026857106535</v>
      </c>
      <c r="AB162" s="23">
        <f>EXP(-LN(2)/2)*AB161+(1-EXP(-LN(2)/2))/(LN(2)/2)*V162*Y162*VLOOKUP('Données projet'!$B$9,Paramètres!$A$1:$I$89,3,0)*0.475*44/12</f>
        <v>5.0184148699093897E-19</v>
      </c>
      <c r="AC162" s="24">
        <f t="shared" si="163"/>
        <v>0.72609280572923285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-3.1036506698001178E-14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164.0740581424559</v>
      </c>
      <c r="AO162" s="62">
        <f t="shared" si="144"/>
        <v>280.99861170359793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1.2738192098343815</v>
      </c>
      <c r="AV162" s="23">
        <f>EXP(-LN(2)/25)*AV161+(1-EXP(-LN(2)/25))/(LN(2)/25)*Calculateur!AQ162*Calculateur!AS162*VLOOKUP('Données projet'!$B$10,Paramètres!$A$1:$I$89,3,0)*0.475*44/12</f>
        <v>1.0633899163480207</v>
      </c>
      <c r="AW162" s="23">
        <f>EXP(-LN(2)/2)*AW161+(1-EXP(-LN(2)/2))/(LN(2)/2)*AQ162*AT162*VLOOKUP('Données projet'!$B$10,Paramètres!$A$1:$I$89,3,0)*0.475*44/12</f>
        <v>6.2623038571871379E-19</v>
      </c>
      <c r="AX162" s="23">
        <f t="shared" si="166"/>
        <v>2.337209126182402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8.5265128291212022E-14</v>
      </c>
      <c r="BE162" s="14">
        <f>BD162*VLOOKUP('Données projet'!$B$11,Paramètres!$A$1:$I$89,3,0)*VLOOKUP('Données projet'!$B$11,Paramètres!$A$1:$I$89,5,0)</f>
        <v>3.990408004028723E-14</v>
      </c>
      <c r="BF162" s="14">
        <f t="shared" si="167"/>
        <v>6.6713074187844705E-13</v>
      </c>
      <c r="BG162" s="22">
        <f t="shared" si="168"/>
        <v>1.2314189815084623E-12</v>
      </c>
      <c r="BH162" s="62">
        <f t="shared" si="116"/>
        <v>293.33333333333456</v>
      </c>
      <c r="BI162" s="62">
        <f ca="1">AVERAGE(OFFSET($BH$3,0,0,'Données projet'!$E$11+1,1))-AVERAGE(OFFSET($H$3,0,0,'Données projet'!$E$11+1,1))</f>
        <v>90.829393941874685</v>
      </c>
      <c r="BJ162" s="62">
        <f t="shared" si="146"/>
        <v>113.5315547498717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0.23371941223757006</v>
      </c>
      <c r="BQ162" s="23">
        <f>EXP(-LN(2)/25)*BQ161+(1-EXP(-LN(2)/25))/(LN(2)/25)*Calculateur!BL162*Calculateur!BN162*VLOOKUP('Données projet'!$B$11,Paramètres!$A$1:$I$89,3,0)*0.475*44/12</f>
        <v>0.15960659687687223</v>
      </c>
      <c r="BR162" s="23">
        <f>EXP(-LN(2)/2)*BR161+(1-EXP(-LN(2)/2))/(LN(2)/2)*BL162*BO162*VLOOKUP('Données projet'!$B$11,Paramètres!$A$1:$I$89,3,0)*0.475*44/12</f>
        <v>8.8714288744530905E-20</v>
      </c>
      <c r="BS162" s="24">
        <f t="shared" si="169"/>
        <v>0.39332600911444227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-1.4897523215040565E-13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211.95495599943246</v>
      </c>
      <c r="CE162" s="62">
        <f t="shared" si="148"/>
        <v>270.47407508916842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0.19372609151112863</v>
      </c>
      <c r="CL162" s="23">
        <f>EXP(-LN(2)/25)*CL161+(1-EXP(-LN(2)/25))/(LN(2)/25)*Calculateur!CG162*Calculateur!CI162*VLOOKUP('Données projet'!$B$12,Paramètres!$A$1:$I$89,3,0)*0.475*44/12</f>
        <v>0.47893164533372579</v>
      </c>
      <c r="CM162" s="23">
        <f>EXP(-LN(2)/2)*CM161+(1-EXP(-LN(2)/2))/(LN(2)/2)*CG162*CJ162*VLOOKUP('Données projet'!$B$12,Paramètres!$A$1:$I$89,3,0)*0.475*44/12</f>
        <v>4.8403735939832216E-19</v>
      </c>
      <c r="CN162" s="24">
        <f t="shared" si="172"/>
        <v>0.67265773684485441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-2.5420376914553347E-13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446.5364328843699</v>
      </c>
      <c r="T163" s="62">
        <f t="shared" si="142"/>
        <v>559.96606361482179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0.41651163413285675</v>
      </c>
      <c r="AA163" s="23">
        <f>EXP(-LN(2)/25)*AA162+(1-EXP(-LN(2)/25))/(LN(2)/25)*Calculateur!V163*Calculateur!X163*VLOOKUP('Données projet'!$B$9,Paramètres!$A$1:$I$89,3,0)*0.475*44/12</f>
        <v>0.29301256413492643</v>
      </c>
      <c r="AB163" s="23">
        <f>EXP(-LN(2)/2)*AB162+(1-EXP(-LN(2)/2))/(LN(2)/2)*V163*Y163*VLOOKUP('Données projet'!$B$9,Paramètres!$A$1:$I$89,3,0)*0.475*44/12</f>
        <v>3.5485551853203353E-19</v>
      </c>
      <c r="AC163" s="24">
        <f t="shared" si="163"/>
        <v>0.70952419826778312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-3.1036506698001178E-14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164.0740581424559</v>
      </c>
      <c r="AO163" s="62">
        <f t="shared" si="144"/>
        <v>280.99861170359793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1.2488403920825295</v>
      </c>
      <c r="AV163" s="23">
        <f>EXP(-LN(2)/25)*AV162+(1-EXP(-LN(2)/25))/(LN(2)/25)*Calculateur!AQ163*Calculateur!AS163*VLOOKUP('Données projet'!$B$10,Paramètres!$A$1:$I$89,3,0)*0.475*44/12</f>
        <v>1.0343114631642387</v>
      </c>
      <c r="AW163" s="23">
        <f>EXP(-LN(2)/2)*AW162+(1-EXP(-LN(2)/2))/(LN(2)/2)*AQ163*AT163*VLOOKUP('Données projet'!$B$10,Paramètres!$A$1:$I$89,3,0)*0.475*44/12</f>
        <v>4.428117523267698E-19</v>
      </c>
      <c r="AX163" s="23">
        <f t="shared" si="166"/>
        <v>2.2831518552467682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8.5265128291212022E-14</v>
      </c>
      <c r="BE163" s="14">
        <f>BD163*VLOOKUP('Données projet'!$B$11,Paramètres!$A$1:$I$89,3,0)*VLOOKUP('Données projet'!$B$11,Paramètres!$A$1:$I$89,5,0)</f>
        <v>3.990408004028723E-14</v>
      </c>
      <c r="BF163" s="14">
        <f t="shared" si="167"/>
        <v>6.6713074187844705E-13</v>
      </c>
      <c r="BG163" s="22">
        <f t="shared" si="168"/>
        <v>1.2314189815084623E-12</v>
      </c>
      <c r="BH163" s="62">
        <f t="shared" si="116"/>
        <v>293.33333333333456</v>
      </c>
      <c r="BI163" s="62">
        <f ca="1">AVERAGE(OFFSET($BH$3,0,0,'Données projet'!$E$11+1,1))-AVERAGE(OFFSET($H$3,0,0,'Données projet'!$E$11+1,1))</f>
        <v>90.829393941874685</v>
      </c>
      <c r="BJ163" s="62">
        <f t="shared" si="146"/>
        <v>113.5315547498717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0.22913631711835666</v>
      </c>
      <c r="BQ163" s="23">
        <f>EXP(-LN(2)/25)*BQ162+(1-EXP(-LN(2)/25))/(LN(2)/25)*Calculateur!BL163*Calculateur!BN163*VLOOKUP('Données projet'!$B$11,Paramètres!$A$1:$I$89,3,0)*0.475*44/12</f>
        <v>0.15524214609192802</v>
      </c>
      <c r="BR163" s="23">
        <f>EXP(-LN(2)/2)*BR162+(1-EXP(-LN(2)/2))/(LN(2)/2)*BL163*BO163*VLOOKUP('Données projet'!$B$11,Paramètres!$A$1:$I$89,3,0)*0.475*44/12</f>
        <v>6.2730475159399211E-20</v>
      </c>
      <c r="BS163" s="24">
        <f t="shared" si="169"/>
        <v>0.38437846321028468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-1.4897523215040565E-13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211.95495599943246</v>
      </c>
      <c r="CE163" s="62">
        <f t="shared" si="148"/>
        <v>270.47407508916842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0.18992724101784375</v>
      </c>
      <c r="CL163" s="23">
        <f>EXP(-LN(2)/25)*CL162+(1-EXP(-LN(2)/25))/(LN(2)/25)*Calculateur!CG163*Calculateur!CI163*VLOOKUP('Données projet'!$B$12,Paramètres!$A$1:$I$89,3,0)*0.475*44/12</f>
        <v>0.46583523430615442</v>
      </c>
      <c r="CM163" s="23">
        <f>EXP(-LN(2)/2)*CM162+(1-EXP(-LN(2)/2))/(LN(2)/2)*CG163*CJ163*VLOOKUP('Données projet'!$B$12,Paramètres!$A$1:$I$89,3,0)*0.475*44/12</f>
        <v>3.4226609917818366E-19</v>
      </c>
      <c r="CN163" s="24">
        <f t="shared" si="172"/>
        <v>0.65576247532399812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-2.5420376914553347E-13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446.5364328843699</v>
      </c>
      <c r="T164" s="62">
        <f t="shared" si="142"/>
        <v>559.96606361482179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0.40834409503452318</v>
      </c>
      <c r="AA164" s="23">
        <f>EXP(-LN(2)/25)*AA163+(1-EXP(-LN(2)/25))/(LN(2)/25)*Calculateur!V164*Calculateur!X164*VLOOKUP('Données projet'!$B$9,Paramètres!$A$1:$I$89,3,0)*0.475*44/12</f>
        <v>0.28500012015979581</v>
      </c>
      <c r="AB164" s="23">
        <f>EXP(-LN(2)/2)*AB163+(1-EXP(-LN(2)/2))/(LN(2)/2)*V164*Y164*VLOOKUP('Données projet'!$B$9,Paramètres!$A$1:$I$89,3,0)*0.475*44/12</f>
        <v>2.5092074349546949E-19</v>
      </c>
      <c r="AC164" s="24">
        <f t="shared" si="163"/>
        <v>0.69334421519431899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-3.1036506698001178E-14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164.0740581424559</v>
      </c>
      <c r="AO164" s="62">
        <f t="shared" si="144"/>
        <v>280.99861170359793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1.2243513937112169</v>
      </c>
      <c r="AV164" s="23">
        <f>EXP(-LN(2)/25)*AV163+(1-EXP(-LN(2)/25))/(LN(2)/25)*Calculateur!AQ164*Calculateur!AS164*VLOOKUP('Données projet'!$B$10,Paramètres!$A$1:$I$89,3,0)*0.475*44/12</f>
        <v>1.0060281618119367</v>
      </c>
      <c r="AW164" s="23">
        <f>EXP(-LN(2)/2)*AW163+(1-EXP(-LN(2)/2))/(LN(2)/2)*AQ164*AT164*VLOOKUP('Données projet'!$B$10,Paramètres!$A$1:$I$89,3,0)*0.475*44/12</f>
        <v>3.131151928593569E-19</v>
      </c>
      <c r="AX164" s="23">
        <f t="shared" si="166"/>
        <v>2.2303795555231538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8.5265128291212022E-14</v>
      </c>
      <c r="BE164" s="14">
        <f>BD164*VLOOKUP('Données projet'!$B$11,Paramètres!$A$1:$I$89,3,0)*VLOOKUP('Données projet'!$B$11,Paramètres!$A$1:$I$89,5,0)</f>
        <v>3.990408004028723E-14</v>
      </c>
      <c r="BF164" s="14">
        <f t="shared" si="167"/>
        <v>6.6713074187844705E-13</v>
      </c>
      <c r="BG164" s="22">
        <f t="shared" si="168"/>
        <v>1.2314189815084623E-12</v>
      </c>
      <c r="BH164" s="62">
        <f t="shared" si="116"/>
        <v>293.33333333333456</v>
      </c>
      <c r="BI164" s="62">
        <f ca="1">AVERAGE(OFFSET($BH$3,0,0,'Données projet'!$E$11+1,1))-AVERAGE(OFFSET($H$3,0,0,'Données projet'!$E$11+1,1))</f>
        <v>90.829393941874685</v>
      </c>
      <c r="BJ164" s="62">
        <f t="shared" si="146"/>
        <v>113.5315547498717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0.22464309369901905</v>
      </c>
      <c r="BQ164" s="23">
        <f>EXP(-LN(2)/25)*BQ163+(1-EXP(-LN(2)/25))/(LN(2)/25)*Calculateur!BL164*Calculateur!BN164*VLOOKUP('Données projet'!$B$11,Paramètres!$A$1:$I$89,3,0)*0.475*44/12</f>
        <v>0.1509970414432146</v>
      </c>
      <c r="BR164" s="23">
        <f>EXP(-LN(2)/2)*BR163+(1-EXP(-LN(2)/2))/(LN(2)/2)*BL164*BO164*VLOOKUP('Données projet'!$B$11,Paramètres!$A$1:$I$89,3,0)*0.475*44/12</f>
        <v>4.4357144372265453E-20</v>
      </c>
      <c r="BS164" s="24">
        <f t="shared" si="169"/>
        <v>0.37564013514223366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-1.4897523215040565E-13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211.95495599943246</v>
      </c>
      <c r="CE164" s="62">
        <f t="shared" si="148"/>
        <v>270.47407508916842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0.18620288366566221</v>
      </c>
      <c r="CL164" s="23">
        <f>EXP(-LN(2)/25)*CL163+(1-EXP(-LN(2)/25))/(LN(2)/25)*Calculateur!CG164*Calculateur!CI164*VLOOKUP('Données projet'!$B$12,Paramètres!$A$1:$I$89,3,0)*0.475*44/12</f>
        <v>0.45309694532684236</v>
      </c>
      <c r="CM164" s="23">
        <f>EXP(-LN(2)/2)*CM163+(1-EXP(-LN(2)/2))/(LN(2)/2)*CG164*CJ164*VLOOKUP('Données projet'!$B$12,Paramètres!$A$1:$I$89,3,0)*0.475*44/12</f>
        <v>2.4201867969916108E-19</v>
      </c>
      <c r="CN164" s="24">
        <f t="shared" si="172"/>
        <v>0.63929982899250459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-2.5420376914553347E-13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446.5364328843699</v>
      </c>
      <c r="T165" s="62">
        <f t="shared" si="142"/>
        <v>559.96606361482179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0.400336716396201</v>
      </c>
      <c r="AA165" s="23">
        <f>EXP(-LN(2)/25)*AA164+(1-EXP(-LN(2)/25))/(LN(2)/25)*Calculateur!V165*Calculateur!X165*VLOOKUP('Données projet'!$B$9,Paramètres!$A$1:$I$89,3,0)*0.475*44/12</f>
        <v>0.27720677688652123</v>
      </c>
      <c r="AB165" s="23">
        <f>EXP(-LN(2)/2)*AB164+(1-EXP(-LN(2)/2))/(LN(2)/2)*V165*Y165*VLOOKUP('Données projet'!$B$9,Paramètres!$A$1:$I$89,3,0)*0.475*44/12</f>
        <v>1.7742775926601676E-19</v>
      </c>
      <c r="AC165" s="24">
        <f t="shared" si="163"/>
        <v>0.67754349328272223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-3.1036506698001178E-14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164.0740581424559</v>
      </c>
      <c r="AO165" s="62">
        <f t="shared" si="144"/>
        <v>280.99861170359793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1.2003426096611516</v>
      </c>
      <c r="AV165" s="23">
        <f>EXP(-LN(2)/25)*AV164+(1-EXP(-LN(2)/25))/(LN(2)/25)*Calculateur!AQ165*Calculateur!AS165*VLOOKUP('Données projet'!$B$10,Paramètres!$A$1:$I$89,3,0)*0.475*44/12</f>
        <v>0.97851826882246751</v>
      </c>
      <c r="AW165" s="23">
        <f>EXP(-LN(2)/2)*AW164+(1-EXP(-LN(2)/2))/(LN(2)/2)*AQ165*AT165*VLOOKUP('Données projet'!$B$10,Paramètres!$A$1:$I$89,3,0)*0.475*44/12</f>
        <v>2.214058761633849E-19</v>
      </c>
      <c r="AX165" s="23">
        <f t="shared" si="166"/>
        <v>2.178860878483619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8.5265128291212022E-14</v>
      </c>
      <c r="BE165" s="14">
        <f>BD165*VLOOKUP('Données projet'!$B$11,Paramètres!$A$1:$I$89,3,0)*VLOOKUP('Données projet'!$B$11,Paramètres!$A$1:$I$89,5,0)</f>
        <v>3.990408004028723E-14</v>
      </c>
      <c r="BF165" s="14">
        <f t="shared" si="167"/>
        <v>6.6713074187844705E-13</v>
      </c>
      <c r="BG165" s="22">
        <f t="shared" si="168"/>
        <v>1.2314189815084623E-12</v>
      </c>
      <c r="BH165" s="62">
        <f t="shared" si="116"/>
        <v>293.33333333333456</v>
      </c>
      <c r="BI165" s="62">
        <f ca="1">AVERAGE(OFFSET($BH$3,0,0,'Données projet'!$E$11+1,1))-AVERAGE(OFFSET($H$3,0,0,'Données projet'!$E$11+1,1))</f>
        <v>90.829393941874685</v>
      </c>
      <c r="BJ165" s="62">
        <f t="shared" si="146"/>
        <v>113.5315547498717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0.22023797965033898</v>
      </c>
      <c r="BQ165" s="23">
        <f>EXP(-LN(2)/25)*BQ164+(1-EXP(-LN(2)/25))/(LN(2)/25)*Calculateur!BL165*Calculateur!BN165*VLOOKUP('Données projet'!$B$11,Paramètres!$A$1:$I$89,3,0)*0.475*44/12</f>
        <v>0.14686801940436059</v>
      </c>
      <c r="BR165" s="23">
        <f>EXP(-LN(2)/2)*BR164+(1-EXP(-LN(2)/2))/(LN(2)/2)*BL165*BO165*VLOOKUP('Données projet'!$B$11,Paramètres!$A$1:$I$89,3,0)*0.475*44/12</f>
        <v>3.1365237579699605E-20</v>
      </c>
      <c r="BS165" s="24">
        <f t="shared" si="169"/>
        <v>0.36710599905469954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-1.4897523215040565E-13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211.95495599943246</v>
      </c>
      <c r="CE165" s="62">
        <f t="shared" si="148"/>
        <v>270.47407508916842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0.18255155868952325</v>
      </c>
      <c r="CL165" s="23">
        <f>EXP(-LN(2)/25)*CL164+(1-EXP(-LN(2)/25))/(LN(2)/25)*Calculateur!CG165*Calculateur!CI165*VLOOKUP('Données projet'!$B$12,Paramètres!$A$1:$I$89,3,0)*0.475*44/12</f>
        <v>0.44070698552954707</v>
      </c>
      <c r="CM165" s="23">
        <f>EXP(-LN(2)/2)*CM164+(1-EXP(-LN(2)/2))/(LN(2)/2)*CG165*CJ165*VLOOKUP('Données projet'!$B$12,Paramètres!$A$1:$I$89,3,0)*0.475*44/12</f>
        <v>1.7113304958909183E-19</v>
      </c>
      <c r="CN165" s="24">
        <f t="shared" si="172"/>
        <v>0.62325854421907034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-2.5420376914553347E-13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446.5364328843699</v>
      </c>
      <c r="T166" s="62">
        <f t="shared" si="142"/>
        <v>559.96606361482179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0.39248635756895761</v>
      </c>
      <c r="AA166" s="23">
        <f>EXP(-LN(2)/25)*AA165+(1-EXP(-LN(2)/25))/(LN(2)/25)*Calculateur!V166*Calculateur!X166*VLOOKUP('Données projet'!$B$9,Paramètres!$A$1:$I$89,3,0)*0.475*44/12</f>
        <v>0.26962654299488847</v>
      </c>
      <c r="AB166" s="23">
        <f>EXP(-LN(2)/2)*AB165+(1-EXP(-LN(2)/2))/(LN(2)/2)*V166*Y166*VLOOKUP('Données projet'!$B$9,Paramètres!$A$1:$I$89,3,0)*0.475*44/12</f>
        <v>1.2546037174773474E-19</v>
      </c>
      <c r="AC166" s="24">
        <f t="shared" si="163"/>
        <v>0.66211290056384609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-3.1036506698001178E-14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164.0740581424559</v>
      </c>
      <c r="AO166" s="62">
        <f t="shared" si="144"/>
        <v>280.99861170359793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1.1768046232223959</v>
      </c>
      <c r="AV166" s="23">
        <f>EXP(-LN(2)/25)*AV165+(1-EXP(-LN(2)/25))/(LN(2)/25)*Calculateur!AQ166*Calculateur!AS166*VLOOKUP('Données projet'!$B$10,Paramètres!$A$1:$I$89,3,0)*0.475*44/12</f>
        <v>0.95176063530347776</v>
      </c>
      <c r="AW166" s="23">
        <f>EXP(-LN(2)/2)*AW165+(1-EXP(-LN(2)/2))/(LN(2)/2)*AQ166*AT166*VLOOKUP('Données projet'!$B$10,Paramètres!$A$1:$I$89,3,0)*0.475*44/12</f>
        <v>1.5655759642967845E-19</v>
      </c>
      <c r="AX166" s="23">
        <f t="shared" si="166"/>
        <v>2.1285652585258736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8.5265128291212022E-14</v>
      </c>
      <c r="BE166" s="14">
        <f>BD166*VLOOKUP('Données projet'!$B$11,Paramètres!$A$1:$I$89,3,0)*VLOOKUP('Données projet'!$B$11,Paramètres!$A$1:$I$89,5,0)</f>
        <v>3.990408004028723E-14</v>
      </c>
      <c r="BF166" s="14">
        <f t="shared" si="167"/>
        <v>6.6713074187844705E-13</v>
      </c>
      <c r="BG166" s="22">
        <f t="shared" si="168"/>
        <v>1.2314189815084623E-12</v>
      </c>
      <c r="BH166" s="62">
        <f t="shared" si="116"/>
        <v>293.33333333333456</v>
      </c>
      <c r="BI166" s="62">
        <f ca="1">AVERAGE(OFFSET($BH$3,0,0,'Données projet'!$E$11+1,1))-AVERAGE(OFFSET($H$3,0,0,'Données projet'!$E$11+1,1))</f>
        <v>90.829393941874685</v>
      </c>
      <c r="BJ166" s="62">
        <f t="shared" si="146"/>
        <v>113.5315547498717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0.21591924720129924</v>
      </c>
      <c r="BQ166" s="23">
        <f>EXP(-LN(2)/25)*BQ165+(1-EXP(-LN(2)/25))/(LN(2)/25)*Calculateur!BL166*Calculateur!BN166*VLOOKUP('Données projet'!$B$11,Paramètres!$A$1:$I$89,3,0)*0.475*44/12</f>
        <v>0.14285190569029488</v>
      </c>
      <c r="BR166" s="23">
        <f>EXP(-LN(2)/2)*BR165+(1-EXP(-LN(2)/2))/(LN(2)/2)*BL166*BO166*VLOOKUP('Données projet'!$B$11,Paramètres!$A$1:$I$89,3,0)*0.475*44/12</f>
        <v>2.2178572186132726E-20</v>
      </c>
      <c r="BS166" s="24">
        <f t="shared" si="169"/>
        <v>0.35877115289159411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-1.4897523215040565E-13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211.95495599943246</v>
      </c>
      <c r="CE166" s="62">
        <f t="shared" si="148"/>
        <v>270.47407508916842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0.17897183396907804</v>
      </c>
      <c r="CL166" s="23">
        <f>EXP(-LN(2)/25)*CL165+(1-EXP(-LN(2)/25))/(LN(2)/25)*Calculateur!CG166*Calculateur!CI166*VLOOKUP('Données projet'!$B$12,Paramètres!$A$1:$I$89,3,0)*0.475*44/12</f>
        <v>0.42865582983446848</v>
      </c>
      <c r="CM166" s="23">
        <f>EXP(-LN(2)/2)*CM165+(1-EXP(-LN(2)/2))/(LN(2)/2)*CG166*CJ166*VLOOKUP('Données projet'!$B$12,Paramètres!$A$1:$I$89,3,0)*0.475*44/12</f>
        <v>1.2100933984958054E-19</v>
      </c>
      <c r="CN166" s="24">
        <f t="shared" si="172"/>
        <v>0.60762766380354649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-2.5420376914553347E-13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446.5364328843699</v>
      </c>
      <c r="T167" s="62">
        <f t="shared" si="142"/>
        <v>559.96606361482179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0.38478993949007034</v>
      </c>
      <c r="AA167" s="23">
        <f>EXP(-LN(2)/25)*AA166+(1-EXP(-LN(2)/25))/(LN(2)/25)*Calculateur!V167*Calculateur!X167*VLOOKUP('Données projet'!$B$9,Paramètres!$A$1:$I$89,3,0)*0.475*44/12</f>
        <v>0.26225359099764961</v>
      </c>
      <c r="AB167" s="23">
        <f>EXP(-LN(2)/2)*AB166+(1-EXP(-LN(2)/2))/(LN(2)/2)*V167*Y167*VLOOKUP('Données projet'!$B$9,Paramètres!$A$1:$I$89,3,0)*0.475*44/12</f>
        <v>8.8713879633008382E-20</v>
      </c>
      <c r="AC167" s="24">
        <f t="shared" si="163"/>
        <v>0.64704353048772001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-3.1036506698001178E-14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164.0740581424559</v>
      </c>
      <c r="AO167" s="62">
        <f t="shared" si="144"/>
        <v>280.99861170359793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1.1537282023409501</v>
      </c>
      <c r="AV167" s="23">
        <f>EXP(-LN(2)/25)*AV166+(1-EXP(-LN(2)/25))/(LN(2)/25)*Calculateur!AQ167*Calculateur!AS167*VLOOKUP('Données projet'!$B$10,Paramètres!$A$1:$I$89,3,0)*0.475*44/12</f>
        <v>0.92573469068018766</v>
      </c>
      <c r="AW167" s="23">
        <f>EXP(-LN(2)/2)*AW166+(1-EXP(-LN(2)/2))/(LN(2)/2)*AQ167*AT167*VLOOKUP('Données projet'!$B$10,Paramètres!$A$1:$I$89,3,0)*0.475*44/12</f>
        <v>1.1070293808169245E-19</v>
      </c>
      <c r="AX167" s="23">
        <f t="shared" si="166"/>
        <v>2.0794628930211378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8.5265128291212022E-14</v>
      </c>
      <c r="BE167" s="14">
        <f>BD167*VLOOKUP('Données projet'!$B$11,Paramètres!$A$1:$I$89,3,0)*VLOOKUP('Données projet'!$B$11,Paramètres!$A$1:$I$89,5,0)</f>
        <v>3.990408004028723E-14</v>
      </c>
      <c r="BF167" s="14">
        <f t="shared" si="167"/>
        <v>6.6713074187844705E-13</v>
      </c>
      <c r="BG167" s="22">
        <f t="shared" si="168"/>
        <v>1.2314189815084623E-12</v>
      </c>
      <c r="BH167" s="62">
        <f t="shared" si="116"/>
        <v>293.33333333333456</v>
      </c>
      <c r="BI167" s="62">
        <f ca="1">AVERAGE(OFFSET($BH$3,0,0,'Données projet'!$E$11+1,1))-AVERAGE(OFFSET($H$3,0,0,'Données projet'!$E$11+1,1))</f>
        <v>90.829393941874685</v>
      </c>
      <c r="BJ167" s="62">
        <f t="shared" si="146"/>
        <v>113.5315547498717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0.21168520246141848</v>
      </c>
      <c r="BQ167" s="23">
        <f>EXP(-LN(2)/25)*BQ166+(1-EXP(-LN(2)/25))/(LN(2)/25)*Calculateur!BL167*Calculateur!BN167*VLOOKUP('Données projet'!$B$11,Paramètres!$A$1:$I$89,3,0)*0.475*44/12</f>
        <v>0.13894561281693854</v>
      </c>
      <c r="BR167" s="23">
        <f>EXP(-LN(2)/2)*BR166+(1-EXP(-LN(2)/2))/(LN(2)/2)*BL167*BO167*VLOOKUP('Données projet'!$B$11,Paramètres!$A$1:$I$89,3,0)*0.475*44/12</f>
        <v>1.5682618789849803E-20</v>
      </c>
      <c r="BS167" s="24">
        <f t="shared" si="169"/>
        <v>0.35063081527835704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-1.4897523215040565E-13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211.95495599943246</v>
      </c>
      <c r="CE167" s="62">
        <f t="shared" si="148"/>
        <v>270.47407508916842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0.17546230546698427</v>
      </c>
      <c r="CL167" s="23">
        <f>EXP(-LN(2)/25)*CL166+(1-EXP(-LN(2)/25))/(LN(2)/25)*Calculateur!CG167*Calculateur!CI167*VLOOKUP('Données projet'!$B$12,Paramètres!$A$1:$I$89,3,0)*0.475*44/12</f>
        <v>0.41693421362561456</v>
      </c>
      <c r="CM167" s="23">
        <f>EXP(-LN(2)/2)*CM166+(1-EXP(-LN(2)/2))/(LN(2)/2)*CG167*CJ167*VLOOKUP('Données projet'!$B$12,Paramètres!$A$1:$I$89,3,0)*0.475*44/12</f>
        <v>8.5566524794545914E-20</v>
      </c>
      <c r="CN167" s="24">
        <f t="shared" si="172"/>
        <v>0.59239651909259883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-2.5420376914553347E-13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446.5364328843699</v>
      </c>
      <c r="T168" s="62">
        <f t="shared" si="142"/>
        <v>559.96606361482179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0.37724444347535857</v>
      </c>
      <c r="AA168" s="23">
        <f>EXP(-LN(2)/25)*AA167+(1-EXP(-LN(2)/25))/(LN(2)/25)*Calculateur!V168*Calculateur!X168*VLOOKUP('Données projet'!$B$9,Paramètres!$A$1:$I$89,3,0)*0.475*44/12</f>
        <v>0.25508225276050189</v>
      </c>
      <c r="AB168" s="23">
        <f>EXP(-LN(2)/2)*AB167+(1-EXP(-LN(2)/2))/(LN(2)/2)*V168*Y168*VLOOKUP('Données projet'!$B$9,Paramètres!$A$1:$I$89,3,0)*0.475*44/12</f>
        <v>6.2730185873867372E-20</v>
      </c>
      <c r="AC168" s="24">
        <f t="shared" si="163"/>
        <v>0.63232669623586046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-3.1036506698001178E-14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164.0740581424559</v>
      </c>
      <c r="AO168" s="62">
        <f t="shared" si="144"/>
        <v>280.99861170359793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1.1311042959977624</v>
      </c>
      <c r="AV168" s="23">
        <f>EXP(-LN(2)/25)*AV167+(1-EXP(-LN(2)/25))/(LN(2)/25)*Calculateur!AQ168*Calculateur!AS168*VLOOKUP('Données projet'!$B$10,Paramètres!$A$1:$I$89,3,0)*0.475*44/12</f>
        <v>0.90042042688126633</v>
      </c>
      <c r="AW168" s="23">
        <f>EXP(-LN(2)/2)*AW167+(1-EXP(-LN(2)/2))/(LN(2)/2)*AQ168*AT168*VLOOKUP('Données projet'!$B$10,Paramètres!$A$1:$I$89,3,0)*0.475*44/12</f>
        <v>7.8278798214839224E-20</v>
      </c>
      <c r="AX168" s="23">
        <f t="shared" si="166"/>
        <v>2.0315247228790287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8.5265128291212022E-14</v>
      </c>
      <c r="BE168" s="14">
        <f>BD168*VLOOKUP('Données projet'!$B$11,Paramètres!$A$1:$I$89,3,0)*VLOOKUP('Données projet'!$B$11,Paramètres!$A$1:$I$89,5,0)</f>
        <v>3.990408004028723E-14</v>
      </c>
      <c r="BF168" s="14">
        <f t="shared" si="167"/>
        <v>6.6713074187844705E-13</v>
      </c>
      <c r="BG168" s="22">
        <f t="shared" si="168"/>
        <v>1.2314189815084623E-12</v>
      </c>
      <c r="BH168" s="62">
        <f t="shared" si="116"/>
        <v>293.33333333333456</v>
      </c>
      <c r="BI168" s="62">
        <f ca="1">AVERAGE(OFFSET($BH$3,0,0,'Données projet'!$E$11+1,1))-AVERAGE(OFFSET($H$3,0,0,'Données projet'!$E$11+1,1))</f>
        <v>90.829393941874685</v>
      </c>
      <c r="BJ168" s="62">
        <f t="shared" si="146"/>
        <v>113.5315547498717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0.2075341847563745</v>
      </c>
      <c r="BQ168" s="23">
        <f>EXP(-LN(2)/25)*BQ167+(1-EXP(-LN(2)/25))/(LN(2)/25)*Calculateur!BL168*Calculateur!BN168*VLOOKUP('Données projet'!$B$11,Paramètres!$A$1:$I$89,3,0)*0.475*44/12</f>
        <v>0.13514613772762715</v>
      </c>
      <c r="BR168" s="23">
        <f>EXP(-LN(2)/2)*BR167+(1-EXP(-LN(2)/2))/(LN(2)/2)*BL168*BO168*VLOOKUP('Données projet'!$B$11,Paramètres!$A$1:$I$89,3,0)*0.475*44/12</f>
        <v>1.1089286093066363E-20</v>
      </c>
      <c r="BS168" s="24">
        <f t="shared" si="169"/>
        <v>0.34268032248400165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-1.4897523215040565E-13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211.95495599943246</v>
      </c>
      <c r="CE168" s="62">
        <f t="shared" si="148"/>
        <v>270.47407508916842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0.17202159667821557</v>
      </c>
      <c r="CL168" s="23">
        <f>EXP(-LN(2)/25)*CL167+(1-EXP(-LN(2)/25))/(LN(2)/25)*Calculateur!CG168*Calculateur!CI168*VLOOKUP('Données projet'!$B$12,Paramètres!$A$1:$I$89,3,0)*0.475*44/12</f>
        <v>0.40553312562840477</v>
      </c>
      <c r="CM168" s="23">
        <f>EXP(-LN(2)/2)*CM167+(1-EXP(-LN(2)/2))/(LN(2)/2)*CG168*CJ168*VLOOKUP('Données projet'!$B$12,Paramètres!$A$1:$I$89,3,0)*0.475*44/12</f>
        <v>6.0504669924790271E-20</v>
      </c>
      <c r="CN168" s="24">
        <f t="shared" si="172"/>
        <v>0.57755472230662031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-2.5420376914553347E-13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446.5364328843699</v>
      </c>
      <c r="T169" s="62">
        <f t="shared" si="142"/>
        <v>559.96606361482179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0.36984691003519715</v>
      </c>
      <c r="AA169" s="23">
        <f>EXP(-LN(2)/25)*AA168+(1-EXP(-LN(2)/25))/(LN(2)/25)*Calculateur!V169*Calculateur!X169*VLOOKUP('Données projet'!$B$9,Paramètres!$A$1:$I$89,3,0)*0.475*44/12</f>
        <v>0.24810701514457328</v>
      </c>
      <c r="AB169" s="23">
        <f>EXP(-LN(2)/2)*AB168+(1-EXP(-LN(2)/2))/(LN(2)/2)*V169*Y169*VLOOKUP('Données projet'!$B$9,Paramètres!$A$1:$I$89,3,0)*0.475*44/12</f>
        <v>4.4356939816504191E-20</v>
      </c>
      <c r="AC169" s="24">
        <f t="shared" si="163"/>
        <v>0.61795392517977044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-3.1036506698001178E-14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164.0740581424559</v>
      </c>
      <c r="AO169" s="62">
        <f t="shared" si="144"/>
        <v>280.99861170359793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1.1089240306587442</v>
      </c>
      <c r="AV169" s="23">
        <f>EXP(-LN(2)/25)*AV168+(1-EXP(-LN(2)/25))/(LN(2)/25)*Calculateur!AQ169*Calculateur!AS169*VLOOKUP('Données projet'!$B$10,Paramètres!$A$1:$I$89,3,0)*0.475*44/12</f>
        <v>0.87579838295714585</v>
      </c>
      <c r="AW169" s="23">
        <f>EXP(-LN(2)/2)*AW168+(1-EXP(-LN(2)/2))/(LN(2)/2)*AQ169*AT169*VLOOKUP('Données projet'!$B$10,Paramètres!$A$1:$I$89,3,0)*0.475*44/12</f>
        <v>5.5351469040846225E-20</v>
      </c>
      <c r="AX169" s="23">
        <f t="shared" si="166"/>
        <v>1.9847224136158901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8.5265128291212022E-14</v>
      </c>
      <c r="BE169" s="14">
        <f>BD169*VLOOKUP('Données projet'!$B$11,Paramètres!$A$1:$I$89,3,0)*VLOOKUP('Données projet'!$B$11,Paramètres!$A$1:$I$89,5,0)</f>
        <v>3.990408004028723E-14</v>
      </c>
      <c r="BF169" s="14">
        <f t="shared" si="167"/>
        <v>6.6713074187844705E-13</v>
      </c>
      <c r="BG169" s="22">
        <f t="shared" si="168"/>
        <v>1.2314189815084623E-12</v>
      </c>
      <c r="BH169" s="62">
        <f t="shared" si="116"/>
        <v>293.33333333333456</v>
      </c>
      <c r="BI169" s="62">
        <f ca="1">AVERAGE(OFFSET($BH$3,0,0,'Données projet'!$E$11+1,1))-AVERAGE(OFFSET($H$3,0,0,'Données projet'!$E$11+1,1))</f>
        <v>90.829393941874685</v>
      </c>
      <c r="BJ169" s="62">
        <f t="shared" si="146"/>
        <v>113.5315547498717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0.20346456597665563</v>
      </c>
      <c r="BQ169" s="23">
        <f>EXP(-LN(2)/25)*BQ168+(1-EXP(-LN(2)/25))/(LN(2)/25)*Calculateur!BL169*Calculateur!BN169*VLOOKUP('Données projet'!$B$11,Paramètres!$A$1:$I$89,3,0)*0.475*44/12</f>
        <v>0.13145055948443868</v>
      </c>
      <c r="BR169" s="23">
        <f>EXP(-LN(2)/2)*BR168+(1-EXP(-LN(2)/2))/(LN(2)/2)*BL169*BO169*VLOOKUP('Données projet'!$B$11,Paramètres!$A$1:$I$89,3,0)*0.475*44/12</f>
        <v>7.8413093949249013E-21</v>
      </c>
      <c r="BS169" s="24">
        <f t="shared" si="169"/>
        <v>0.33491512546109431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-1.4897523215040565E-13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211.95495599943246</v>
      </c>
      <c r="CE169" s="62">
        <f t="shared" si="148"/>
        <v>270.47407508916842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0.16864835809016945</v>
      </c>
      <c r="CL169" s="23">
        <f>EXP(-LN(2)/25)*CL168+(1-EXP(-LN(2)/25))/(LN(2)/25)*Calculateur!CG169*Calculateur!CI169*VLOOKUP('Données projet'!$B$12,Paramètres!$A$1:$I$89,3,0)*0.475*44/12</f>
        <v>0.3944438009820358</v>
      </c>
      <c r="CM169" s="23">
        <f>EXP(-LN(2)/2)*CM168+(1-EXP(-LN(2)/2))/(LN(2)/2)*CG169*CJ169*VLOOKUP('Données projet'!$B$12,Paramètres!$A$1:$I$89,3,0)*0.475*44/12</f>
        <v>4.2783262397272957E-20</v>
      </c>
      <c r="CN169" s="24">
        <f t="shared" si="172"/>
        <v>0.56309215907220522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-2.5420376914553347E-13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446.5364328843699</v>
      </c>
      <c r="T170" s="62">
        <f t="shared" si="142"/>
        <v>559.96606361482179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0.36259443771374744</v>
      </c>
      <c r="AA170" s="23">
        <f>EXP(-LN(2)/25)*AA169+(1-EXP(-LN(2)/25))/(LN(2)/25)*Calculateur!V170*Calculateur!X170*VLOOKUP('Données projet'!$B$9,Paramètres!$A$1:$I$89,3,0)*0.475*44/12</f>
        <v>0.24132251576806404</v>
      </c>
      <c r="AB170" s="23">
        <f>EXP(-LN(2)/2)*AB169+(1-EXP(-LN(2)/2))/(LN(2)/2)*V170*Y170*VLOOKUP('Données projet'!$B$9,Paramètres!$A$1:$I$89,3,0)*0.475*44/12</f>
        <v>3.1365092936933686E-20</v>
      </c>
      <c r="AC170" s="24">
        <f t="shared" si="163"/>
        <v>0.60391695348181151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-3.1036506698001178E-14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164.0740581424559</v>
      </c>
      <c r="AO170" s="62">
        <f t="shared" si="144"/>
        <v>280.99861170359793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1.0871787067943983</v>
      </c>
      <c r="AV170" s="23">
        <f>EXP(-LN(2)/25)*AV169+(1-EXP(-LN(2)/25))/(LN(2)/25)*Calculateur!AQ170*Calculateur!AS170*VLOOKUP('Données projet'!$B$10,Paramètres!$A$1:$I$89,3,0)*0.475*44/12</f>
        <v>0.85184963011894743</v>
      </c>
      <c r="AW170" s="23">
        <f>EXP(-LN(2)/2)*AW169+(1-EXP(-LN(2)/2))/(LN(2)/2)*AQ170*AT170*VLOOKUP('Données projet'!$B$10,Paramètres!$A$1:$I$89,3,0)*0.475*44/12</f>
        <v>3.9139399107419612E-20</v>
      </c>
      <c r="AX170" s="23">
        <f t="shared" si="166"/>
        <v>1.9390283369133456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8.5265128291212022E-14</v>
      </c>
      <c r="BE170" s="14">
        <f>BD170*VLOOKUP('Données projet'!$B$11,Paramètres!$A$1:$I$89,3,0)*VLOOKUP('Données projet'!$B$11,Paramètres!$A$1:$I$89,5,0)</f>
        <v>3.990408004028723E-14</v>
      </c>
      <c r="BF170" s="14">
        <f t="shared" si="167"/>
        <v>6.6713074187844705E-13</v>
      </c>
      <c r="BG170" s="22">
        <f t="shared" si="168"/>
        <v>1.2314189815084623E-12</v>
      </c>
      <c r="BH170" s="62">
        <f t="shared" si="116"/>
        <v>293.33333333333456</v>
      </c>
      <c r="BI170" s="62">
        <f ca="1">AVERAGE(OFFSET($BH$3,0,0,'Données projet'!$E$11+1,1))-AVERAGE(OFFSET($H$3,0,0,'Données projet'!$E$11+1,1))</f>
        <v>90.829393941874685</v>
      </c>
      <c r="BJ170" s="62">
        <f t="shared" si="146"/>
        <v>113.5315547498717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0.1994747499389847</v>
      </c>
      <c r="BQ170" s="23">
        <f>EXP(-LN(2)/25)*BQ169+(1-EXP(-LN(2)/25))/(LN(2)/25)*Calculateur!BL170*Calculateur!BN170*VLOOKUP('Données projet'!$B$11,Paramètres!$A$1:$I$89,3,0)*0.475*44/12</f>
        <v>0.12785603702265222</v>
      </c>
      <c r="BR170" s="23">
        <f>EXP(-LN(2)/2)*BR169+(1-EXP(-LN(2)/2))/(LN(2)/2)*BL170*BO170*VLOOKUP('Données projet'!$B$11,Paramètres!$A$1:$I$89,3,0)*0.475*44/12</f>
        <v>5.5446430465331816E-21</v>
      </c>
      <c r="BS170" s="24">
        <f t="shared" si="169"/>
        <v>0.32733078696163692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-1.4897523215040565E-13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211.95495599943246</v>
      </c>
      <c r="CE170" s="62">
        <f t="shared" si="148"/>
        <v>270.47407508916842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0.16534126665336255</v>
      </c>
      <c r="CL170" s="23">
        <f>EXP(-LN(2)/25)*CL169+(1-EXP(-LN(2)/25))/(LN(2)/25)*Calculateur!CG170*Calculateur!CI170*VLOOKUP('Données projet'!$B$12,Paramètres!$A$1:$I$89,3,0)*0.475*44/12</f>
        <v>0.38365771450128405</v>
      </c>
      <c r="CM170" s="23">
        <f>EXP(-LN(2)/2)*CM169+(1-EXP(-LN(2)/2))/(LN(2)/2)*CG170*CJ170*VLOOKUP('Données projet'!$B$12,Paramètres!$A$1:$I$89,3,0)*0.475*44/12</f>
        <v>3.0252334962395135E-20</v>
      </c>
      <c r="CN170" s="24">
        <f t="shared" si="172"/>
        <v>0.54899898115464663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-2.5420376914553347E-13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446.5364328843699</v>
      </c>
      <c r="T171" s="62">
        <f t="shared" si="142"/>
        <v>559.96606361482179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0.35548418195095005</v>
      </c>
      <c r="AA171" s="23">
        <f>EXP(-LN(2)/25)*AA170+(1-EXP(-LN(2)/25))/(LN(2)/25)*Calculateur!V171*Calculateur!X171*VLOOKUP('Données projet'!$B$9,Paramètres!$A$1:$I$89,3,0)*0.475*44/12</f>
        <v>0.23472353888378678</v>
      </c>
      <c r="AB171" s="23">
        <f>EXP(-LN(2)/2)*AB170+(1-EXP(-LN(2)/2))/(LN(2)/2)*V171*Y171*VLOOKUP('Données projet'!$B$9,Paramètres!$A$1:$I$89,3,0)*0.475*44/12</f>
        <v>2.2178469908252096E-20</v>
      </c>
      <c r="AC171" s="24">
        <f t="shared" si="163"/>
        <v>0.59020772083473683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-3.1036506698001178E-14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164.0740581424559</v>
      </c>
      <c r="AO171" s="62">
        <f t="shared" si="144"/>
        <v>280.99861170359793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1.0658597954676943</v>
      </c>
      <c r="AV171" s="23">
        <f>EXP(-LN(2)/25)*AV170+(1-EXP(-LN(2)/25))/(LN(2)/25)*Calculateur!AQ171*Calculateur!AS171*VLOOKUP('Données projet'!$B$10,Paramètres!$A$1:$I$89,3,0)*0.475*44/12</f>
        <v>0.82855575718651975</v>
      </c>
      <c r="AW171" s="23">
        <f>EXP(-LN(2)/2)*AW170+(1-EXP(-LN(2)/2))/(LN(2)/2)*AQ171*AT171*VLOOKUP('Données projet'!$B$10,Paramètres!$A$1:$I$89,3,0)*0.475*44/12</f>
        <v>2.7675734520423113E-20</v>
      </c>
      <c r="AX171" s="23">
        <f t="shared" si="166"/>
        <v>1.8944155526542139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8.5265128291212022E-14</v>
      </c>
      <c r="BE171" s="14">
        <f>BD171*VLOOKUP('Données projet'!$B$11,Paramètres!$A$1:$I$89,3,0)*VLOOKUP('Données projet'!$B$11,Paramètres!$A$1:$I$89,5,0)</f>
        <v>3.990408004028723E-14</v>
      </c>
      <c r="BF171" s="14">
        <f t="shared" si="167"/>
        <v>6.6713074187844705E-13</v>
      </c>
      <c r="BG171" s="22">
        <f t="shared" si="168"/>
        <v>1.2314189815084623E-12</v>
      </c>
      <c r="BH171" s="62">
        <f t="shared" si="116"/>
        <v>293.33333333333456</v>
      </c>
      <c r="BI171" s="62">
        <f ca="1">AVERAGE(OFFSET($BH$3,0,0,'Données projet'!$E$11+1,1))-AVERAGE(OFFSET($H$3,0,0,'Données projet'!$E$11+1,1))</f>
        <v>90.829393941874685</v>
      </c>
      <c r="BJ171" s="62">
        <f t="shared" si="146"/>
        <v>113.5315547498717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0.195563171760265</v>
      </c>
      <c r="BQ171" s="23">
        <f>EXP(-LN(2)/25)*BQ170+(1-EXP(-LN(2)/25))/(LN(2)/25)*Calculateur!BL171*Calculateur!BN171*VLOOKUP('Données projet'!$B$11,Paramètres!$A$1:$I$89,3,0)*0.475*44/12</f>
        <v>0.12435980696661103</v>
      </c>
      <c r="BR171" s="23">
        <f>EXP(-LN(2)/2)*BR170+(1-EXP(-LN(2)/2))/(LN(2)/2)*BL171*BO171*VLOOKUP('Données projet'!$B$11,Paramètres!$A$1:$I$89,3,0)*0.475*44/12</f>
        <v>3.9206546974624507E-21</v>
      </c>
      <c r="BS171" s="24">
        <f t="shared" si="169"/>
        <v>0.31992297872687603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-1.4897523215040565E-13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211.95495599943246</v>
      </c>
      <c r="CE171" s="62">
        <f t="shared" si="148"/>
        <v>270.47407508916842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0.16209902526250483</v>
      </c>
      <c r="CL171" s="23">
        <f>EXP(-LN(2)/25)*CL170+(1-EXP(-LN(2)/25))/(LN(2)/25)*Calculateur!CG171*Calculateur!CI171*VLOOKUP('Données projet'!$B$12,Paramètres!$A$1:$I$89,3,0)*0.475*44/12</f>
        <v>0.3731665741225641</v>
      </c>
      <c r="CM171" s="23">
        <f>EXP(-LN(2)/2)*CM170+(1-EXP(-LN(2)/2))/(LN(2)/2)*CG171*CJ171*VLOOKUP('Données projet'!$B$12,Paramètres!$A$1:$I$89,3,0)*0.475*44/12</f>
        <v>2.1391631198636479E-20</v>
      </c>
      <c r="CN171" s="24">
        <f t="shared" si="172"/>
        <v>0.5352655993850689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-2.5420376914553347E-13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446.5364328843699</v>
      </c>
      <c r="T172" s="62">
        <f t="shared" si="142"/>
        <v>559.96606361482179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0.34851335396683331</v>
      </c>
      <c r="AA172" s="23">
        <f>EXP(-LN(2)/25)*AA171+(1-EXP(-LN(2)/25))/(LN(2)/25)*Calculateur!V172*Calculateur!X172*VLOOKUP('Données projet'!$B$9,Paramètres!$A$1:$I$89,3,0)*0.475*44/12</f>
        <v>0.22830501136943518</v>
      </c>
      <c r="AB172" s="23">
        <f>EXP(-LN(2)/2)*AB171+(1-EXP(-LN(2)/2))/(LN(2)/2)*V172*Y172*VLOOKUP('Données projet'!$B$9,Paramètres!$A$1:$I$89,3,0)*0.475*44/12</f>
        <v>1.5682546468466843E-20</v>
      </c>
      <c r="AC172" s="24">
        <f t="shared" si="163"/>
        <v>0.57681836533626851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-3.1036506698001178E-14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164.0740581424559</v>
      </c>
      <c r="AO172" s="62">
        <f t="shared" si="144"/>
        <v>280.99861170359793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1.0449589349888551</v>
      </c>
      <c r="AV172" s="23">
        <f>EXP(-LN(2)/25)*AV171+(1-EXP(-LN(2)/25))/(LN(2)/25)*Calculateur!AQ172*Calculateur!AS172*VLOOKUP('Données projet'!$B$10,Paramètres!$A$1:$I$89,3,0)*0.475*44/12</f>
        <v>0.80589885643440073</v>
      </c>
      <c r="AW172" s="23">
        <f>EXP(-LN(2)/2)*AW171+(1-EXP(-LN(2)/2))/(LN(2)/2)*AQ172*AT172*VLOOKUP('Données projet'!$B$10,Paramètres!$A$1:$I$89,3,0)*0.475*44/12</f>
        <v>1.9569699553709806E-20</v>
      </c>
      <c r="AX172" s="23">
        <f t="shared" si="166"/>
        <v>1.8508577914232558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8.5265128291212022E-14</v>
      </c>
      <c r="BE172" s="14">
        <f>BD172*VLOOKUP('Données projet'!$B$11,Paramètres!$A$1:$I$89,3,0)*VLOOKUP('Données projet'!$B$11,Paramètres!$A$1:$I$89,5,0)</f>
        <v>3.990408004028723E-14</v>
      </c>
      <c r="BF172" s="14">
        <f t="shared" si="167"/>
        <v>6.6713074187844705E-13</v>
      </c>
      <c r="BG172" s="22">
        <f t="shared" si="168"/>
        <v>1.2314189815084623E-12</v>
      </c>
      <c r="BH172" s="62">
        <f t="shared" si="116"/>
        <v>293.33333333333456</v>
      </c>
      <c r="BI172" s="62">
        <f ca="1">AVERAGE(OFFSET($BH$3,0,0,'Données projet'!$E$11+1,1))-AVERAGE(OFFSET($H$3,0,0,'Données projet'!$E$11+1,1))</f>
        <v>90.829393941874685</v>
      </c>
      <c r="BJ172" s="62">
        <f t="shared" si="146"/>
        <v>113.5315547498717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0.19172829724380289</v>
      </c>
      <c r="BQ172" s="23">
        <f>EXP(-LN(2)/25)*BQ171+(1-EXP(-LN(2)/25))/(LN(2)/25)*Calculateur!BL172*Calculateur!BN172*VLOOKUP('Données projet'!$B$11,Paramètres!$A$1:$I$89,3,0)*0.475*44/12</f>
        <v>0.12095918150531103</v>
      </c>
      <c r="BR172" s="23">
        <f>EXP(-LN(2)/2)*BR171+(1-EXP(-LN(2)/2))/(LN(2)/2)*BL172*BO172*VLOOKUP('Données projet'!$B$11,Paramètres!$A$1:$I$89,3,0)*0.475*44/12</f>
        <v>2.7723215232665908E-21</v>
      </c>
      <c r="BS172" s="24">
        <f t="shared" si="169"/>
        <v>0.3126874787491139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-1.4897523215040565E-13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211.95495599943246</v>
      </c>
      <c r="CE172" s="62">
        <f t="shared" si="148"/>
        <v>270.47407508916842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0.15892036224774986</v>
      </c>
      <c r="CL172" s="23">
        <f>EXP(-LN(2)/25)*CL171+(1-EXP(-LN(2)/25))/(LN(2)/25)*Calculateur!CG172*Calculateur!CI172*VLOOKUP('Données projet'!$B$12,Paramètres!$A$1:$I$89,3,0)*0.475*44/12</f>
        <v>0.36296231452920535</v>
      </c>
      <c r="CM172" s="23">
        <f>EXP(-LN(2)/2)*CM171+(1-EXP(-LN(2)/2))/(LN(2)/2)*CG172*CJ172*VLOOKUP('Données projet'!$B$12,Paramètres!$A$1:$I$89,3,0)*0.475*44/12</f>
        <v>1.5126167481197568E-20</v>
      </c>
      <c r="CN172" s="24">
        <f t="shared" si="172"/>
        <v>0.52188267677695521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-2.5420376914553347E-13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446.5364328843699</v>
      </c>
      <c r="T173" s="62">
        <f t="shared" si="142"/>
        <v>559.96606361482179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0.34167921966769987</v>
      </c>
      <c r="AA173" s="23">
        <f>EXP(-LN(2)/25)*AA172+(1-EXP(-LN(2)/25))/(LN(2)/25)*Calculateur!V173*Calculateur!X173*VLOOKUP('Données projet'!$B$9,Paramètres!$A$1:$I$89,3,0)*0.475*44/12</f>
        <v>0.22206199882749922</v>
      </c>
      <c r="AB173" s="23">
        <f>EXP(-LN(2)/2)*AB172+(1-EXP(-LN(2)/2))/(LN(2)/2)*V173*Y173*VLOOKUP('Données projet'!$B$9,Paramètres!$A$1:$I$89,3,0)*0.475*44/12</f>
        <v>1.1089234954126048E-20</v>
      </c>
      <c r="AC173" s="24">
        <f t="shared" si="163"/>
        <v>0.56374121849519909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-3.1036506698001178E-14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164.0740581424559</v>
      </c>
      <c r="AO173" s="62">
        <f t="shared" si="144"/>
        <v>280.99861170359793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1.0244679276357396</v>
      </c>
      <c r="AV173" s="23">
        <f>EXP(-LN(2)/25)*AV172+(1-EXP(-LN(2)/25))/(LN(2)/25)*Calculateur!AQ173*Calculateur!AS173*VLOOKUP('Données projet'!$B$10,Paramètres!$A$1:$I$89,3,0)*0.475*44/12</f>
        <v>0.78386150982482306</v>
      </c>
      <c r="AW173" s="23">
        <f>EXP(-LN(2)/2)*AW172+(1-EXP(-LN(2)/2))/(LN(2)/2)*AQ173*AT173*VLOOKUP('Données projet'!$B$10,Paramètres!$A$1:$I$89,3,0)*0.475*44/12</f>
        <v>1.3837867260211556E-20</v>
      </c>
      <c r="AX173" s="23">
        <f t="shared" si="166"/>
        <v>1.8083294374605625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8.5265128291212022E-14</v>
      </c>
      <c r="BE173" s="14">
        <f>BD173*VLOOKUP('Données projet'!$B$11,Paramètres!$A$1:$I$89,3,0)*VLOOKUP('Données projet'!$B$11,Paramètres!$A$1:$I$89,5,0)</f>
        <v>3.990408004028723E-14</v>
      </c>
      <c r="BF173" s="14">
        <f t="shared" si="167"/>
        <v>6.6713074187844705E-13</v>
      </c>
      <c r="BG173" s="22">
        <f t="shared" si="168"/>
        <v>1.2314189815084623E-12</v>
      </c>
      <c r="BH173" s="62">
        <f t="shared" si="116"/>
        <v>293.33333333333456</v>
      </c>
      <c r="BI173" s="62">
        <f ca="1">AVERAGE(OFFSET($BH$3,0,0,'Données projet'!$E$11+1,1))-AVERAGE(OFFSET($H$3,0,0,'Données projet'!$E$11+1,1))</f>
        <v>90.829393941874685</v>
      </c>
      <c r="BJ173" s="62">
        <f t="shared" si="146"/>
        <v>113.5315547498717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0.18796862227756608</v>
      </c>
      <c r="BQ173" s="23">
        <f>EXP(-LN(2)/25)*BQ172+(1-EXP(-LN(2)/25))/(LN(2)/25)*Calculateur!BL173*Calculateur!BN173*VLOOKUP('Données projet'!$B$11,Paramètres!$A$1:$I$89,3,0)*0.475*44/12</f>
        <v>0.11765154632608139</v>
      </c>
      <c r="BR173" s="23">
        <f>EXP(-LN(2)/2)*BR172+(1-EXP(-LN(2)/2))/(LN(2)/2)*BL173*BO173*VLOOKUP('Données projet'!$B$11,Paramètres!$A$1:$I$89,3,0)*0.475*44/12</f>
        <v>1.9603273487312253E-21</v>
      </c>
      <c r="BS173" s="24">
        <f t="shared" si="169"/>
        <v>0.30562016860364749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-1.4897523215040565E-13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211.95495599943246</v>
      </c>
      <c r="CE173" s="62">
        <f t="shared" si="148"/>
        <v>270.47407508916842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0.15580403087592123</v>
      </c>
      <c r="CL173" s="23">
        <f>EXP(-LN(2)/25)*CL172+(1-EXP(-LN(2)/25))/(LN(2)/25)*Calculateur!CG173*Calculateur!CI173*VLOOKUP('Données projet'!$B$12,Paramètres!$A$1:$I$89,3,0)*0.475*44/12</f>
        <v>0.35303709095104568</v>
      </c>
      <c r="CM173" s="23">
        <f>EXP(-LN(2)/2)*CM172+(1-EXP(-LN(2)/2))/(LN(2)/2)*CG173*CJ173*VLOOKUP('Données projet'!$B$12,Paramètres!$A$1:$I$89,3,0)*0.475*44/12</f>
        <v>1.0695815599318239E-20</v>
      </c>
      <c r="CN173" s="24">
        <f t="shared" si="172"/>
        <v>0.50884112182696695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-2.5420376914553347E-13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446.5364328843699</v>
      </c>
      <c r="T174" s="62">
        <f t="shared" si="142"/>
        <v>559.96606361482179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0.33497909857376212</v>
      </c>
      <c r="AA174" s="23">
        <f>EXP(-LN(2)/25)*AA173+(1-EXP(-LN(2)/25))/(LN(2)/25)*Calculateur!V174*Calculateur!X174*VLOOKUP('Données projet'!$B$9,Paramètres!$A$1:$I$89,3,0)*0.475*44/12</f>
        <v>0.21598970179182828</v>
      </c>
      <c r="AB174" s="23">
        <f>EXP(-LN(2)/2)*AB173+(1-EXP(-LN(2)/2))/(LN(2)/2)*V174*Y174*VLOOKUP('Données projet'!$B$9,Paramètres!$A$1:$I$89,3,0)*0.475*44/12</f>
        <v>7.8412732342334215E-21</v>
      </c>
      <c r="AC174" s="24">
        <f t="shared" si="163"/>
        <v>0.55096880036559037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-3.1036506698001178E-14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164.0740581424559</v>
      </c>
      <c r="AO174" s="62">
        <f t="shared" si="144"/>
        <v>280.99861170359793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1.0043787364385384</v>
      </c>
      <c r="AV174" s="23">
        <f>EXP(-LN(2)/25)*AV173+(1-EXP(-LN(2)/25))/(LN(2)/25)*Calculateur!AQ174*Calculateur!AS174*VLOOKUP('Données projet'!$B$10,Paramètres!$A$1:$I$89,3,0)*0.475*44/12</f>
        <v>0.76242677561717798</v>
      </c>
      <c r="AW174" s="23">
        <f>EXP(-LN(2)/2)*AW173+(1-EXP(-LN(2)/2))/(LN(2)/2)*AQ174*AT174*VLOOKUP('Données projet'!$B$10,Paramètres!$A$1:$I$89,3,0)*0.475*44/12</f>
        <v>9.784849776854903E-21</v>
      </c>
      <c r="AX174" s="23">
        <f t="shared" si="166"/>
        <v>1.7668055120557162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8.5265128291212022E-14</v>
      </c>
      <c r="BE174" s="14">
        <f>BD174*VLOOKUP('Données projet'!$B$11,Paramètres!$A$1:$I$89,3,0)*VLOOKUP('Données projet'!$B$11,Paramètres!$A$1:$I$89,5,0)</f>
        <v>3.990408004028723E-14</v>
      </c>
      <c r="BF174" s="14">
        <f t="shared" si="167"/>
        <v>6.6713074187844705E-13</v>
      </c>
      <c r="BG174" s="22">
        <f t="shared" si="168"/>
        <v>1.2314189815084623E-12</v>
      </c>
      <c r="BH174" s="62">
        <f t="shared" si="116"/>
        <v>293.33333333333456</v>
      </c>
      <c r="BI174" s="62">
        <f ca="1">AVERAGE(OFFSET($BH$3,0,0,'Données projet'!$E$11+1,1))-AVERAGE(OFFSET($H$3,0,0,'Données projet'!$E$11+1,1))</f>
        <v>90.829393941874685</v>
      </c>
      <c r="BJ174" s="62">
        <f t="shared" si="146"/>
        <v>113.5315547498717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0.18428267224424191</v>
      </c>
      <c r="BQ174" s="23">
        <f>EXP(-LN(2)/25)*BQ173+(1-EXP(-LN(2)/25))/(LN(2)/25)*Calculateur!BL174*Calculateur!BN174*VLOOKUP('Données projet'!$B$11,Paramètres!$A$1:$I$89,3,0)*0.475*44/12</f>
        <v>0.11443435860476878</v>
      </c>
      <c r="BR174" s="23">
        <f>EXP(-LN(2)/2)*BR173+(1-EXP(-LN(2)/2))/(LN(2)/2)*BL174*BO174*VLOOKUP('Données projet'!$B$11,Paramètres!$A$1:$I$89,3,0)*0.475*44/12</f>
        <v>1.3861607616332954E-21</v>
      </c>
      <c r="BS174" s="24">
        <f t="shared" si="169"/>
        <v>0.29871703084901069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-1.4897523215040565E-13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211.95495599943246</v>
      </c>
      <c r="CE174" s="62">
        <f t="shared" si="148"/>
        <v>270.47407508916842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0.1527488088615197</v>
      </c>
      <c r="CL174" s="23">
        <f>EXP(-LN(2)/25)*CL173+(1-EXP(-LN(2)/25))/(LN(2)/25)*Calculateur!CG174*Calculateur!CI174*VLOOKUP('Données projet'!$B$12,Paramètres!$A$1:$I$89,3,0)*0.475*44/12</f>
        <v>0.34338327313357558</v>
      </c>
      <c r="CM174" s="23">
        <f>EXP(-LN(2)/2)*CM173+(1-EXP(-LN(2)/2))/(LN(2)/2)*CG174*CJ174*VLOOKUP('Données projet'!$B$12,Paramètres!$A$1:$I$89,3,0)*0.475*44/12</f>
        <v>7.5630837405987838E-21</v>
      </c>
      <c r="CN174" s="24">
        <f t="shared" si="172"/>
        <v>0.49613208199509529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-2.5420376914553347E-13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446.5364328843699</v>
      </c>
      <c r="T175" s="62">
        <f t="shared" si="142"/>
        <v>559.96606361482179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0.32841036276780616</v>
      </c>
      <c r="AA175" s="23">
        <f>EXP(-LN(2)/25)*AA174+(1-EXP(-LN(2)/25))/(LN(2)/25)*Calculateur!V175*Calculateur!X175*VLOOKUP('Données projet'!$B$9,Paramètres!$A$1:$I$89,3,0)*0.475*44/12</f>
        <v>0.21008345203792597</v>
      </c>
      <c r="AB175" s="23">
        <f>EXP(-LN(2)/2)*AB174+(1-EXP(-LN(2)/2))/(LN(2)/2)*V175*Y175*VLOOKUP('Données projet'!$B$9,Paramètres!$A$1:$I$89,3,0)*0.475*44/12</f>
        <v>5.5446174770630239E-21</v>
      </c>
      <c r="AC175" s="24">
        <f t="shared" si="163"/>
        <v>0.53849381480573211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-3.1036506698001178E-14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164.0740581424559</v>
      </c>
      <c r="AO175" s="62">
        <f t="shared" si="144"/>
        <v>280.99861170359793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0.98468348202751754</v>
      </c>
      <c r="AV175" s="23">
        <f>EXP(-LN(2)/25)*AV174+(1-EXP(-LN(2)/25))/(LN(2)/25)*Calculateur!AQ175*Calculateur!AS175*VLOOKUP('Données projet'!$B$10,Paramètres!$A$1:$I$89,3,0)*0.475*44/12</f>
        <v>0.74157817534364467</v>
      </c>
      <c r="AW175" s="23">
        <f>EXP(-LN(2)/2)*AW174+(1-EXP(-LN(2)/2))/(LN(2)/2)*AQ175*AT175*VLOOKUP('Données projet'!$B$10,Paramètres!$A$1:$I$89,3,0)*0.475*44/12</f>
        <v>6.9189336301057782E-21</v>
      </c>
      <c r="AX175" s="23">
        <f t="shared" si="166"/>
        <v>1.7262616573711622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8.5265128291212022E-14</v>
      </c>
      <c r="BE175" s="14">
        <f>BD175*VLOOKUP('Données projet'!$B$11,Paramètres!$A$1:$I$89,3,0)*VLOOKUP('Données projet'!$B$11,Paramètres!$A$1:$I$89,5,0)</f>
        <v>3.990408004028723E-14</v>
      </c>
      <c r="BF175" s="14">
        <f t="shared" si="167"/>
        <v>6.6713074187844705E-13</v>
      </c>
      <c r="BG175" s="22">
        <f t="shared" si="168"/>
        <v>1.2314189815084623E-12</v>
      </c>
      <c r="BH175" s="62">
        <f t="shared" si="116"/>
        <v>293.33333333333456</v>
      </c>
      <c r="BI175" s="62">
        <f ca="1">AVERAGE(OFFSET($BH$3,0,0,'Données projet'!$E$11+1,1))-AVERAGE(OFFSET($H$3,0,0,'Données projet'!$E$11+1,1))</f>
        <v>90.829393941874685</v>
      </c>
      <c r="BJ175" s="62">
        <f t="shared" si="146"/>
        <v>113.5315547498717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0.18066900144286369</v>
      </c>
      <c r="BQ175" s="23">
        <f>EXP(-LN(2)/25)*BQ174+(1-EXP(-LN(2)/25))/(LN(2)/25)*Calculateur!BL175*Calculateur!BN175*VLOOKUP('Données projet'!$B$11,Paramètres!$A$1:$I$89,3,0)*0.475*44/12</f>
        <v>0.11130514505088</v>
      </c>
      <c r="BR175" s="23">
        <f>EXP(-LN(2)/2)*BR174+(1-EXP(-LN(2)/2))/(LN(2)/2)*BL175*BO175*VLOOKUP('Données projet'!$B$11,Paramètres!$A$1:$I$89,3,0)*0.475*44/12</f>
        <v>9.8016367436561267E-22</v>
      </c>
      <c r="BS175" s="24">
        <f t="shared" si="169"/>
        <v>0.2919741464937437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-1.4897523215040565E-13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211.95495599943246</v>
      </c>
      <c r="CE175" s="62">
        <f t="shared" si="148"/>
        <v>270.47407508916842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0.14975349788731918</v>
      </c>
      <c r="CL175" s="23">
        <f>EXP(-LN(2)/25)*CL174+(1-EXP(-LN(2)/25))/(LN(2)/25)*Calculateur!CG175*Calculateur!CI175*VLOOKUP('Données projet'!$B$12,Paramètres!$A$1:$I$89,3,0)*0.475*44/12</f>
        <v>0.33399343947199645</v>
      </c>
      <c r="CM175" s="23">
        <f>EXP(-LN(2)/2)*CM174+(1-EXP(-LN(2)/2))/(LN(2)/2)*CG175*CJ175*VLOOKUP('Données projet'!$B$12,Paramètres!$A$1:$I$89,3,0)*0.475*44/12</f>
        <v>5.3479077996591196E-21</v>
      </c>
      <c r="CN175" s="24">
        <f t="shared" si="172"/>
        <v>0.48374693735931562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-2.5420376914553347E-13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446.5364328843699</v>
      </c>
      <c r="T176" s="62">
        <f t="shared" si="142"/>
        <v>559.96606361482179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0.32197043586447177</v>
      </c>
      <c r="AA176" s="23">
        <f>EXP(-LN(2)/25)*AA175+(1-EXP(-LN(2)/25))/(LN(2)/25)*Calculateur!V176*Calculateur!X176*VLOOKUP('Données projet'!$B$9,Paramètres!$A$1:$I$89,3,0)*0.475*44/12</f>
        <v>0.20433870899414031</v>
      </c>
      <c r="AB176" s="23">
        <f>EXP(-LN(2)/2)*AB175+(1-EXP(-LN(2)/2))/(LN(2)/2)*V176*Y176*VLOOKUP('Données projet'!$B$9,Paramètres!$A$1:$I$89,3,0)*0.475*44/12</f>
        <v>3.9206366171167107E-21</v>
      </c>
      <c r="AC176" s="24">
        <f t="shared" si="163"/>
        <v>0.52630914485861213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-3.1036506698001178E-14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164.0740581424559</v>
      </c>
      <c r="AO176" s="62">
        <f t="shared" si="144"/>
        <v>280.99861170359793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0.96537443954257784</v>
      </c>
      <c r="AV176" s="23">
        <f>EXP(-LN(2)/25)*AV175+(1-EXP(-LN(2)/25))/(LN(2)/25)*Calculateur!AQ176*Calculateur!AS176*VLOOKUP('Données projet'!$B$10,Paramètres!$A$1:$I$89,3,0)*0.475*44/12</f>
        <v>0.72129968114097132</v>
      </c>
      <c r="AW176" s="23">
        <f>EXP(-LN(2)/2)*AW175+(1-EXP(-LN(2)/2))/(LN(2)/2)*AQ176*AT176*VLOOKUP('Données projet'!$B$10,Paramètres!$A$1:$I$89,3,0)*0.475*44/12</f>
        <v>4.8924248884274515E-21</v>
      </c>
      <c r="AX176" s="23">
        <f t="shared" si="166"/>
        <v>1.6866741206835492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8.5265128291212022E-14</v>
      </c>
      <c r="BE176" s="14">
        <f>BD176*VLOOKUP('Données projet'!$B$11,Paramètres!$A$1:$I$89,3,0)*VLOOKUP('Données projet'!$B$11,Paramètres!$A$1:$I$89,5,0)</f>
        <v>3.990408004028723E-14</v>
      </c>
      <c r="BF176" s="14">
        <f t="shared" si="167"/>
        <v>6.6713074187844705E-13</v>
      </c>
      <c r="BG176" s="22">
        <f t="shared" si="168"/>
        <v>1.2314189815084623E-12</v>
      </c>
      <c r="BH176" s="62">
        <f t="shared" si="116"/>
        <v>293.33333333333456</v>
      </c>
      <c r="BI176" s="62">
        <f ca="1">AVERAGE(OFFSET($BH$3,0,0,'Données projet'!$E$11+1,1))-AVERAGE(OFFSET($H$3,0,0,'Données projet'!$E$11+1,1))</f>
        <v>90.829393941874685</v>
      </c>
      <c r="BJ176" s="62">
        <f t="shared" si="146"/>
        <v>113.5315547498717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0.17712619252177894</v>
      </c>
      <c r="BQ176" s="23">
        <f>EXP(-LN(2)/25)*BQ175+(1-EXP(-LN(2)/25))/(LN(2)/25)*Calculateur!BL176*Calculateur!BN176*VLOOKUP('Données projet'!$B$11,Paramètres!$A$1:$I$89,3,0)*0.475*44/12</f>
        <v>0.1082615000061805</v>
      </c>
      <c r="BR176" s="23">
        <f>EXP(-LN(2)/2)*BR175+(1-EXP(-LN(2)/2))/(LN(2)/2)*BL176*BO176*VLOOKUP('Données projet'!$B$11,Paramètres!$A$1:$I$89,3,0)*0.475*44/12</f>
        <v>6.930803808166477E-22</v>
      </c>
      <c r="BS176" s="24">
        <f t="shared" si="169"/>
        <v>0.28538769252795942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-1.4897523215040565E-13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211.95495599943246</v>
      </c>
      <c r="CE176" s="62">
        <f t="shared" si="148"/>
        <v>270.47407508916842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0.14681692313436343</v>
      </c>
      <c r="CL176" s="23">
        <f>EXP(-LN(2)/25)*CL175+(1-EXP(-LN(2)/25))/(LN(2)/25)*Calculateur!CG176*Calculateur!CI176*VLOOKUP('Données projet'!$B$12,Paramètres!$A$1:$I$89,3,0)*0.475*44/12</f>
        <v>0.32486037130568307</v>
      </c>
      <c r="CM176" s="23">
        <f>EXP(-LN(2)/2)*CM175+(1-EXP(-LN(2)/2))/(LN(2)/2)*CG176*CJ176*VLOOKUP('Données projet'!$B$12,Paramètres!$A$1:$I$89,3,0)*0.475*44/12</f>
        <v>3.7815418702993919E-21</v>
      </c>
      <c r="CN176" s="24">
        <f t="shared" si="172"/>
        <v>0.47167729444004647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-2.5420376914553347E-13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446.5364328843699</v>
      </c>
      <c r="T177" s="62">
        <f t="shared" si="142"/>
        <v>559.96606361482179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0.31565679199974417</v>
      </c>
      <c r="AA177" s="23">
        <f>EXP(-LN(2)/25)*AA176+(1-EXP(-LN(2)/25))/(LN(2)/25)*Calculateur!V177*Calculateur!X177*VLOOKUP('Données projet'!$B$9,Paramètres!$A$1:$I$89,3,0)*0.475*44/12</f>
        <v>0.19875105625098985</v>
      </c>
      <c r="AB177" s="23">
        <f>EXP(-LN(2)/2)*AB176+(1-EXP(-LN(2)/2))/(LN(2)/2)*V177*Y177*VLOOKUP('Données projet'!$B$9,Paramètres!$A$1:$I$89,3,0)*0.475*44/12</f>
        <v>2.7723087385315119E-21</v>
      </c>
      <c r="AC177" s="24">
        <f t="shared" si="163"/>
        <v>0.51440784825073405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-3.1036506698001178E-14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164.0740581424559</v>
      </c>
      <c r="AO177" s="62">
        <f t="shared" si="144"/>
        <v>280.99861170359793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0.94644403560341483</v>
      </c>
      <c r="AV177" s="23">
        <f>EXP(-LN(2)/25)*AV176+(1-EXP(-LN(2)/25))/(LN(2)/25)*Calculateur!AQ177*Calculateur!AS177*VLOOKUP('Données projet'!$B$10,Paramètres!$A$1:$I$89,3,0)*0.475*44/12</f>
        <v>0.70157570342866982</v>
      </c>
      <c r="AW177" s="23">
        <f>EXP(-LN(2)/2)*AW176+(1-EXP(-LN(2)/2))/(LN(2)/2)*AQ177*AT177*VLOOKUP('Données projet'!$B$10,Paramètres!$A$1:$I$89,3,0)*0.475*44/12</f>
        <v>3.4594668150528891E-21</v>
      </c>
      <c r="AX177" s="23">
        <f t="shared" si="166"/>
        <v>1.6480197390320845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8.5265128291212022E-14</v>
      </c>
      <c r="BE177" s="14">
        <f>BD177*VLOOKUP('Données projet'!$B$11,Paramètres!$A$1:$I$89,3,0)*VLOOKUP('Données projet'!$B$11,Paramètres!$A$1:$I$89,5,0)</f>
        <v>3.990408004028723E-14</v>
      </c>
      <c r="BF177" s="14">
        <f t="shared" si="167"/>
        <v>6.6713074187844705E-13</v>
      </c>
      <c r="BG177" s="22">
        <f t="shared" si="168"/>
        <v>1.2314189815084623E-12</v>
      </c>
      <c r="BH177" s="62">
        <f t="shared" si="116"/>
        <v>293.33333333333456</v>
      </c>
      <c r="BI177" s="62">
        <f ca="1">AVERAGE(OFFSET($BH$3,0,0,'Données projet'!$E$11+1,1))-AVERAGE(OFFSET($H$3,0,0,'Données projet'!$E$11+1,1))</f>
        <v>90.829393941874685</v>
      </c>
      <c r="BJ177" s="62">
        <f t="shared" si="146"/>
        <v>113.5315547498717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0.1736528559227366</v>
      </c>
      <c r="BQ177" s="23">
        <f>EXP(-LN(2)/25)*BQ176+(1-EXP(-LN(2)/25))/(LN(2)/25)*Calculateur!BL177*Calculateur!BN177*VLOOKUP('Données projet'!$B$11,Paramètres!$A$1:$I$89,3,0)*0.475*44/12</f>
        <v>0.10530108359528664</v>
      </c>
      <c r="BR177" s="23">
        <f>EXP(-LN(2)/2)*BR176+(1-EXP(-LN(2)/2))/(LN(2)/2)*BL177*BO177*VLOOKUP('Données projet'!$B$11,Paramètres!$A$1:$I$89,3,0)*0.475*44/12</f>
        <v>4.9008183718280633E-22</v>
      </c>
      <c r="BS177" s="24">
        <f t="shared" si="169"/>
        <v>0.27895393951802328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-1.4897523215040565E-13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211.95495599943246</v>
      </c>
      <c r="CE177" s="62">
        <f t="shared" si="148"/>
        <v>270.47407508916842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0.14393793282117939</v>
      </c>
      <c r="CL177" s="23">
        <f>EXP(-LN(2)/25)*CL176+(1-EXP(-LN(2)/25))/(LN(2)/25)*Calculateur!CG177*Calculateur!CI177*VLOOKUP('Données projet'!$B$12,Paramètres!$A$1:$I$89,3,0)*0.475*44/12</f>
        <v>0.31597704736866472</v>
      </c>
      <c r="CM177" s="23">
        <f>EXP(-LN(2)/2)*CM176+(1-EXP(-LN(2)/2))/(LN(2)/2)*CG177*CJ177*VLOOKUP('Données projet'!$B$12,Paramètres!$A$1:$I$89,3,0)*0.475*44/12</f>
        <v>2.6739538998295598E-21</v>
      </c>
      <c r="CN177" s="24">
        <f t="shared" si="172"/>
        <v>0.45991498018984411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-2.5420376914553347E-13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446.5364328843699</v>
      </c>
      <c r="T178" s="62">
        <f t="shared" si="142"/>
        <v>559.96606361482179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0.30946695484026138</v>
      </c>
      <c r="AA178" s="23">
        <f>EXP(-LN(2)/25)*AA177+(1-EXP(-LN(2)/25))/(LN(2)/25)*Calculateur!V178*Calculateur!X178*VLOOKUP('Données projet'!$B$9,Paramètres!$A$1:$I$89,3,0)*0.475*44/12</f>
        <v>0.19331619816594273</v>
      </c>
      <c r="AB178" s="23">
        <f>EXP(-LN(2)/2)*AB177+(1-EXP(-LN(2)/2))/(LN(2)/2)*V178*Y178*VLOOKUP('Données projet'!$B$9,Paramètres!$A$1:$I$89,3,0)*0.475*44/12</f>
        <v>1.9603183085583554E-21</v>
      </c>
      <c r="AC178" s="24">
        <f t="shared" si="163"/>
        <v>0.50278315300620413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-3.1036506698001178E-14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164.0740581424559</v>
      </c>
      <c r="AO178" s="62">
        <f t="shared" si="144"/>
        <v>280.99861170359793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0.92788484533909255</v>
      </c>
      <c r="AV178" s="23">
        <f>EXP(-LN(2)/25)*AV177+(1-EXP(-LN(2)/25))/(LN(2)/25)*Calculateur!AQ178*Calculateur!AS178*VLOOKUP('Données projet'!$B$10,Paramètres!$A$1:$I$89,3,0)*0.475*44/12</f>
        <v>0.68239107892415007</v>
      </c>
      <c r="AW178" s="23">
        <f>EXP(-LN(2)/2)*AW177+(1-EXP(-LN(2)/2))/(LN(2)/2)*AQ178*AT178*VLOOKUP('Données projet'!$B$10,Paramètres!$A$1:$I$89,3,0)*0.475*44/12</f>
        <v>2.4462124442137257E-21</v>
      </c>
      <c r="AX178" s="23">
        <f t="shared" si="166"/>
        <v>1.6102759242632425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8.5265128291212022E-14</v>
      </c>
      <c r="BE178" s="14">
        <f>BD178*VLOOKUP('Données projet'!$B$11,Paramètres!$A$1:$I$89,3,0)*VLOOKUP('Données projet'!$B$11,Paramètres!$A$1:$I$89,5,0)</f>
        <v>3.990408004028723E-14</v>
      </c>
      <c r="BF178" s="14">
        <f t="shared" si="167"/>
        <v>6.6713074187844705E-13</v>
      </c>
      <c r="BG178" s="22">
        <f t="shared" si="168"/>
        <v>1.2314189815084623E-12</v>
      </c>
      <c r="BH178" s="62">
        <f t="shared" si="116"/>
        <v>293.33333333333456</v>
      </c>
      <c r="BI178" s="62">
        <f ca="1">AVERAGE(OFFSET($BH$3,0,0,'Données projet'!$E$11+1,1))-AVERAGE(OFFSET($H$3,0,0,'Données projet'!$E$11+1,1))</f>
        <v>90.829393941874685</v>
      </c>
      <c r="BJ178" s="62">
        <f t="shared" si="146"/>
        <v>113.5315547498717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0.17024762933587534</v>
      </c>
      <c r="BQ178" s="23">
        <f>EXP(-LN(2)/25)*BQ177+(1-EXP(-LN(2)/25))/(LN(2)/25)*Calculateur!BL178*Calculateur!BN178*VLOOKUP('Données projet'!$B$11,Paramètres!$A$1:$I$89,3,0)*0.475*44/12</f>
        <v>0.10242161992683022</v>
      </c>
      <c r="BR178" s="23">
        <f>EXP(-LN(2)/2)*BR177+(1-EXP(-LN(2)/2))/(LN(2)/2)*BL178*BO178*VLOOKUP('Données projet'!$B$11,Paramètres!$A$1:$I$89,3,0)*0.475*44/12</f>
        <v>3.4654019040832385E-22</v>
      </c>
      <c r="BS178" s="24">
        <f t="shared" si="169"/>
        <v>0.27266924926270553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-1.4897523215040565E-13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211.95495599943246</v>
      </c>
      <c r="CE178" s="62">
        <f t="shared" si="148"/>
        <v>270.47407508916842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0.14111539775202619</v>
      </c>
      <c r="CL178" s="23">
        <f>EXP(-LN(2)/25)*CL177+(1-EXP(-LN(2)/25))/(LN(2)/25)*Calculateur!CG178*Calculateur!CI178*VLOOKUP('Données projet'!$B$12,Paramètres!$A$1:$I$89,3,0)*0.475*44/12</f>
        <v>0.30733663839185782</v>
      </c>
      <c r="CM178" s="23">
        <f>EXP(-LN(2)/2)*CM177+(1-EXP(-LN(2)/2))/(LN(2)/2)*CG178*CJ178*VLOOKUP('Données projet'!$B$12,Paramètres!$A$1:$I$89,3,0)*0.475*44/12</f>
        <v>1.890770935149696E-21</v>
      </c>
      <c r="CN178" s="24">
        <f t="shared" si="172"/>
        <v>0.44845203614388401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-2.5420376914553347E-13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446.5364328843699</v>
      </c>
      <c r="T179" s="62">
        <f t="shared" si="142"/>
        <v>559.96606361482179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0.30339849661204815</v>
      </c>
      <c r="AA179" s="23">
        <f>EXP(-LN(2)/25)*AA178+(1-EXP(-LN(2)/25))/(LN(2)/25)*Calculateur!V179*Calculateur!X179*VLOOKUP('Données projet'!$B$9,Paramètres!$A$1:$I$89,3,0)*0.475*44/12</f>
        <v>0.18802995656103799</v>
      </c>
      <c r="AB179" s="23">
        <f>EXP(-LN(2)/2)*AB178+(1-EXP(-LN(2)/2))/(LN(2)/2)*V179*Y179*VLOOKUP('Données projet'!$B$9,Paramètres!$A$1:$I$89,3,0)*0.475*44/12</f>
        <v>1.386154369265756E-21</v>
      </c>
      <c r="AC179" s="24">
        <f t="shared" si="163"/>
        <v>0.49142845317308614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-3.1036506698001178E-14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164.0740581424559</v>
      </c>
      <c r="AO179" s="62">
        <f t="shared" si="144"/>
        <v>280.99861170359793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0.90968958947586531</v>
      </c>
      <c r="AV179" s="23">
        <f>EXP(-LN(2)/25)*AV178+(1-EXP(-LN(2)/25))/(LN(2)/25)*Calculateur!AQ179*Calculateur!AS179*VLOOKUP('Données projet'!$B$10,Paramètres!$A$1:$I$89,3,0)*0.475*44/12</f>
        <v>0.66373105898558193</v>
      </c>
      <c r="AW179" s="23">
        <f>EXP(-LN(2)/2)*AW178+(1-EXP(-LN(2)/2))/(LN(2)/2)*AQ179*AT179*VLOOKUP('Données projet'!$B$10,Paramètres!$A$1:$I$89,3,0)*0.475*44/12</f>
        <v>1.7297334075264445E-21</v>
      </c>
      <c r="AX179" s="23">
        <f t="shared" si="166"/>
        <v>1.5734206484614472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8.5265128291212022E-14</v>
      </c>
      <c r="BE179" s="14">
        <f>BD179*VLOOKUP('Données projet'!$B$11,Paramètres!$A$1:$I$89,3,0)*VLOOKUP('Données projet'!$B$11,Paramètres!$A$1:$I$89,5,0)</f>
        <v>3.990408004028723E-14</v>
      </c>
      <c r="BF179" s="14">
        <f t="shared" si="167"/>
        <v>6.6713074187844705E-13</v>
      </c>
      <c r="BG179" s="22">
        <f t="shared" si="168"/>
        <v>1.2314189815084623E-12</v>
      </c>
      <c r="BH179" s="62">
        <f t="shared" si="116"/>
        <v>293.33333333333456</v>
      </c>
      <c r="BI179" s="62">
        <f ca="1">AVERAGE(OFFSET($BH$3,0,0,'Données projet'!$E$11+1,1))-AVERAGE(OFFSET($H$3,0,0,'Données projet'!$E$11+1,1))</f>
        <v>90.829393941874685</v>
      </c>
      <c r="BJ179" s="62">
        <f t="shared" si="146"/>
        <v>113.5315547498717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0.1669091771653993</v>
      </c>
      <c r="BQ179" s="23">
        <f>EXP(-LN(2)/25)*BQ178+(1-EXP(-LN(2)/25))/(LN(2)/25)*Calculateur!BL179*Calculateur!BN179*VLOOKUP('Données projet'!$B$11,Paramètres!$A$1:$I$89,3,0)*0.475*44/12</f>
        <v>9.9620895343812133E-2</v>
      </c>
      <c r="BR179" s="23">
        <f>EXP(-LN(2)/2)*BR178+(1-EXP(-LN(2)/2))/(LN(2)/2)*BL179*BO179*VLOOKUP('Données projet'!$B$11,Paramètres!$A$1:$I$89,3,0)*0.475*44/12</f>
        <v>2.4504091859140317E-22</v>
      </c>
      <c r="BS179" s="24">
        <f t="shared" si="169"/>
        <v>0.26653007250921146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-1.4897523215040565E-13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211.95495599943246</v>
      </c>
      <c r="CE179" s="62">
        <f t="shared" si="148"/>
        <v>270.47407508916842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0.1383482108740027</v>
      </c>
      <c r="CL179" s="23">
        <f>EXP(-LN(2)/25)*CL178+(1-EXP(-LN(2)/25))/(LN(2)/25)*Calculateur!CG179*Calculateur!CI179*VLOOKUP('Données projet'!$B$12,Paramètres!$A$1:$I$89,3,0)*0.475*44/12</f>
        <v>0.2989325018529011</v>
      </c>
      <c r="CM179" s="23">
        <f>EXP(-LN(2)/2)*CM178+(1-EXP(-LN(2)/2))/(LN(2)/2)*CG179*CJ179*VLOOKUP('Données projet'!$B$12,Paramètres!$A$1:$I$89,3,0)*0.475*44/12</f>
        <v>1.3369769499147799E-21</v>
      </c>
      <c r="CN179" s="24">
        <f t="shared" si="172"/>
        <v>0.43728071272690383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-2.5420376914553347E-13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446.5364328843699</v>
      </c>
      <c r="T180" s="62">
        <f t="shared" si="142"/>
        <v>559.96606361482179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0.29744903714829618</v>
      </c>
      <c r="AA180" s="23">
        <f>EXP(-LN(2)/25)*AA179+(1-EXP(-LN(2)/25))/(LN(2)/25)*Calculateur!V180*Calculateur!X180*VLOOKUP('Données projet'!$B$9,Paramètres!$A$1:$I$89,3,0)*0.475*44/12</f>
        <v>0.18288826751081075</v>
      </c>
      <c r="AB180" s="23">
        <f>EXP(-LN(2)/2)*AB179+(1-EXP(-LN(2)/2))/(LN(2)/2)*V180*Y180*VLOOKUP('Données projet'!$B$9,Paramètres!$A$1:$I$89,3,0)*0.475*44/12</f>
        <v>9.8015915427917768E-22</v>
      </c>
      <c r="AC180" s="24">
        <f t="shared" si="163"/>
        <v>0.48033730465910696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-3.1036506698001178E-14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164.0740581424559</v>
      </c>
      <c r="AO180" s="62">
        <f t="shared" si="144"/>
        <v>280.99861170359793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0.89185113148210571</v>
      </c>
      <c r="AV180" s="23">
        <f>EXP(-LN(2)/25)*AV179+(1-EXP(-LN(2)/25))/(LN(2)/25)*Calculateur!AQ180*Calculateur!AS180*VLOOKUP('Données projet'!$B$10,Paramètres!$A$1:$I$89,3,0)*0.475*44/12</f>
        <v>0.64558129827352173</v>
      </c>
      <c r="AW180" s="23">
        <f>EXP(-LN(2)/2)*AW179+(1-EXP(-LN(2)/2))/(LN(2)/2)*AQ180*AT180*VLOOKUP('Données projet'!$B$10,Paramètres!$A$1:$I$89,3,0)*0.475*44/12</f>
        <v>1.2231062221068629E-21</v>
      </c>
      <c r="AX180" s="23">
        <f t="shared" si="166"/>
        <v>1.5374324297556274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8.5265128291212022E-14</v>
      </c>
      <c r="BE180" s="14">
        <f>BD180*VLOOKUP('Données projet'!$B$11,Paramètres!$A$1:$I$89,3,0)*VLOOKUP('Données projet'!$B$11,Paramètres!$A$1:$I$89,5,0)</f>
        <v>3.990408004028723E-14</v>
      </c>
      <c r="BF180" s="14">
        <f t="shared" si="167"/>
        <v>6.6713074187844705E-13</v>
      </c>
      <c r="BG180" s="22">
        <f t="shared" si="168"/>
        <v>1.2314189815084623E-12</v>
      </c>
      <c r="BH180" s="62">
        <f t="shared" si="116"/>
        <v>293.33333333333456</v>
      </c>
      <c r="BI180" s="62">
        <f ca="1">AVERAGE(OFFSET($BH$3,0,0,'Données projet'!$E$11+1,1))-AVERAGE(OFFSET($H$3,0,0,'Données projet'!$E$11+1,1))</f>
        <v>90.829393941874685</v>
      </c>
      <c r="BJ180" s="62">
        <f t="shared" si="146"/>
        <v>113.5315547498717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0.16363619000573151</v>
      </c>
      <c r="BQ180" s="23">
        <f>EXP(-LN(2)/25)*BQ179+(1-EXP(-LN(2)/25))/(LN(2)/25)*Calculateur!BL180*Calculateur!BN180*VLOOKUP('Données projet'!$B$11,Paramètres!$A$1:$I$89,3,0)*0.475*44/12</f>
        <v>9.6896756721800384E-2</v>
      </c>
      <c r="BR180" s="23">
        <f>EXP(-LN(2)/2)*BR179+(1-EXP(-LN(2)/2))/(LN(2)/2)*BL180*BO180*VLOOKUP('Données projet'!$B$11,Paramètres!$A$1:$I$89,3,0)*0.475*44/12</f>
        <v>1.7327009520416192E-22</v>
      </c>
      <c r="BS180" s="24">
        <f t="shared" si="169"/>
        <v>0.26053294672753191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-1.4897523215040565E-13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211.95495599943246</v>
      </c>
      <c r="CE180" s="62">
        <f t="shared" si="148"/>
        <v>270.47407508916842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0.1356352868428399</v>
      </c>
      <c r="CL180" s="23">
        <f>EXP(-LN(2)/25)*CL179+(1-EXP(-LN(2)/25))/(LN(2)/25)*Calculateur!CG180*Calculateur!CI180*VLOOKUP('Données projet'!$B$12,Paramètres!$A$1:$I$89,3,0)*0.475*44/12</f>
        <v>0.29075817686955646</v>
      </c>
      <c r="CM180" s="23">
        <f>EXP(-LN(2)/2)*CM179+(1-EXP(-LN(2)/2))/(LN(2)/2)*CG180*CJ180*VLOOKUP('Données projet'!$B$12,Paramètres!$A$1:$I$89,3,0)*0.475*44/12</f>
        <v>9.4538546757484798E-22</v>
      </c>
      <c r="CN180" s="24">
        <f t="shared" si="172"/>
        <v>0.42639346371239639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-2.5420376914553347E-13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446.5364328843699</v>
      </c>
      <c r="T181" s="62">
        <f t="shared" si="142"/>
        <v>559.96606361482179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0.2916162429558164</v>
      </c>
      <c r="AA181" s="23">
        <f>EXP(-LN(2)/25)*AA180+(1-EXP(-LN(2)/25))/(LN(2)/25)*Calculateur!V181*Calculateur!X181*VLOOKUP('Données projet'!$B$9,Paramètres!$A$1:$I$89,3,0)*0.475*44/12</f>
        <v>0.17788717821805164</v>
      </c>
      <c r="AB181" s="23">
        <f>EXP(-LN(2)/2)*AB180+(1-EXP(-LN(2)/2))/(LN(2)/2)*V181*Y181*VLOOKUP('Données projet'!$B$9,Paramètres!$A$1:$I$89,3,0)*0.475*44/12</f>
        <v>6.9307718463287799E-22</v>
      </c>
      <c r="AC181" s="24">
        <f t="shared" si="163"/>
        <v>0.46950342117386801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-3.1036506698001178E-14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164.0740581424559</v>
      </c>
      <c r="AO181" s="62">
        <f t="shared" si="144"/>
        <v>280.99861170359793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0.87436247476921869</v>
      </c>
      <c r="AV181" s="23">
        <f>EXP(-LN(2)/25)*AV180+(1-EXP(-LN(2)/25))/(LN(2)/25)*Calculateur!AQ181*Calculateur!AS181*VLOOKUP('Données projet'!$B$10,Paramètres!$A$1:$I$89,3,0)*0.475*44/12</f>
        <v>0.62792784372258725</v>
      </c>
      <c r="AW181" s="23">
        <f>EXP(-LN(2)/2)*AW180+(1-EXP(-LN(2)/2))/(LN(2)/2)*AQ181*AT181*VLOOKUP('Données projet'!$B$10,Paramètres!$A$1:$I$89,3,0)*0.475*44/12</f>
        <v>8.6486670376322227E-22</v>
      </c>
      <c r="AX181" s="23">
        <f t="shared" si="166"/>
        <v>1.5022903184918059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8.5265128291212022E-14</v>
      </c>
      <c r="BE181" s="14">
        <f>BD181*VLOOKUP('Données projet'!$B$11,Paramètres!$A$1:$I$89,3,0)*VLOOKUP('Données projet'!$B$11,Paramètres!$A$1:$I$89,5,0)</f>
        <v>3.990408004028723E-14</v>
      </c>
      <c r="BF181" s="14">
        <f t="shared" si="167"/>
        <v>6.6713074187844705E-13</v>
      </c>
      <c r="BG181" s="22">
        <f t="shared" si="168"/>
        <v>1.2314189815084623E-12</v>
      </c>
      <c r="BH181" s="62">
        <f t="shared" si="116"/>
        <v>293.33333333333456</v>
      </c>
      <c r="BI181" s="62">
        <f ca="1">AVERAGE(OFFSET($BH$3,0,0,'Données projet'!$E$11+1,1))-AVERAGE(OFFSET($H$3,0,0,'Données projet'!$E$11+1,1))</f>
        <v>90.829393941874685</v>
      </c>
      <c r="BJ181" s="62">
        <f t="shared" si="146"/>
        <v>113.5315547498717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0.16042738412793978</v>
      </c>
      <c r="BQ181" s="23">
        <f>EXP(-LN(2)/25)*BQ180+(1-EXP(-LN(2)/25))/(LN(2)/25)*Calculateur!BL181*Calculateur!BN181*VLOOKUP('Données projet'!$B$11,Paramètres!$A$1:$I$89,3,0)*0.475*44/12</f>
        <v>9.4247109813663771E-2</v>
      </c>
      <c r="BR181" s="23">
        <f>EXP(-LN(2)/2)*BR180+(1-EXP(-LN(2)/2))/(LN(2)/2)*BL181*BO181*VLOOKUP('Données projet'!$B$11,Paramètres!$A$1:$I$89,3,0)*0.475*44/12</f>
        <v>1.2252045929570158E-22</v>
      </c>
      <c r="BS181" s="24">
        <f t="shared" si="169"/>
        <v>0.25467449394160357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-1.4897523215040565E-13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211.95495599943246</v>
      </c>
      <c r="CE181" s="62">
        <f t="shared" si="148"/>
        <v>270.47407508916842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0.13297556159720794</v>
      </c>
      <c r="CL181" s="23">
        <f>EXP(-LN(2)/25)*CL180+(1-EXP(-LN(2)/25))/(LN(2)/25)*Calculateur!CG181*Calculateur!CI181*VLOOKUP('Données projet'!$B$12,Paramètres!$A$1:$I$89,3,0)*0.475*44/12</f>
        <v>0.28280737923275046</v>
      </c>
      <c r="CM181" s="23">
        <f>EXP(-LN(2)/2)*CM180+(1-EXP(-LN(2)/2))/(LN(2)/2)*CG181*CJ181*VLOOKUP('Données projet'!$B$12,Paramètres!$A$1:$I$89,3,0)*0.475*44/12</f>
        <v>6.6848847495738995E-22</v>
      </c>
      <c r="CN181" s="24">
        <f t="shared" si="172"/>
        <v>0.41578294082995837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-2.5420376914553347E-13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446.5364328843699</v>
      </c>
      <c r="T182" s="62">
        <f t="shared" si="142"/>
        <v>559.96606361482179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0.28589782629979799</v>
      </c>
      <c r="AA182" s="23">
        <f>EXP(-LN(2)/25)*AA181+(1-EXP(-LN(2)/25))/(LN(2)/25)*Calculateur!V182*Calculateur!X182*VLOOKUP('Données projet'!$B$9,Paramètres!$A$1:$I$89,3,0)*0.475*44/12</f>
        <v>0.17302284397499887</v>
      </c>
      <c r="AB182" s="23">
        <f>EXP(-LN(2)/2)*AB181+(1-EXP(-LN(2)/2))/(LN(2)/2)*V182*Y182*VLOOKUP('Données projet'!$B$9,Paramètres!$A$1:$I$89,3,0)*0.475*44/12</f>
        <v>4.9007957713958884E-22</v>
      </c>
      <c r="AC182" s="24">
        <f t="shared" si="163"/>
        <v>0.45892067027479688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-3.1036506698001178E-14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164.0740581424559</v>
      </c>
      <c r="AO182" s="62">
        <f t="shared" si="144"/>
        <v>280.99861170359793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0.85721675994744406</v>
      </c>
      <c r="AV182" s="23">
        <f>EXP(-LN(2)/25)*AV181+(1-EXP(-LN(2)/25))/(LN(2)/25)*Calculateur!AQ182*Calculateur!AS182*VLOOKUP('Données projet'!$B$10,Paramètres!$A$1:$I$89,3,0)*0.475*44/12</f>
        <v>0.61075712381470293</v>
      </c>
      <c r="AW182" s="23">
        <f>EXP(-LN(2)/2)*AW181+(1-EXP(-LN(2)/2))/(LN(2)/2)*AQ182*AT182*VLOOKUP('Données projet'!$B$10,Paramètres!$A$1:$I$89,3,0)*0.475*44/12</f>
        <v>6.1155311105343144E-22</v>
      </c>
      <c r="AX182" s="23">
        <f t="shared" si="166"/>
        <v>1.467973883762147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8.5265128291212022E-14</v>
      </c>
      <c r="BE182" s="14">
        <f>BD182*VLOOKUP('Données projet'!$B$11,Paramètres!$A$1:$I$89,3,0)*VLOOKUP('Données projet'!$B$11,Paramètres!$A$1:$I$89,5,0)</f>
        <v>3.990408004028723E-14</v>
      </c>
      <c r="BF182" s="14">
        <f t="shared" si="167"/>
        <v>6.6713074187844705E-13</v>
      </c>
      <c r="BG182" s="22">
        <f t="shared" si="168"/>
        <v>1.2314189815084623E-12</v>
      </c>
      <c r="BH182" s="62">
        <f t="shared" si="116"/>
        <v>293.33333333333456</v>
      </c>
      <c r="BI182" s="62">
        <f ca="1">AVERAGE(OFFSET($BH$3,0,0,'Données projet'!$E$11+1,1))-AVERAGE(OFFSET($H$3,0,0,'Données projet'!$E$11+1,1))</f>
        <v>90.829393941874685</v>
      </c>
      <c r="BJ182" s="62">
        <f t="shared" si="146"/>
        <v>113.5315547498717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0.1572815009762332</v>
      </c>
      <c r="BQ182" s="23">
        <f>EXP(-LN(2)/25)*BQ181+(1-EXP(-LN(2)/25))/(LN(2)/25)*Calculateur!BL182*Calculateur!BN182*VLOOKUP('Données projet'!$B$11,Paramètres!$A$1:$I$89,3,0)*0.475*44/12</f>
        <v>9.166991763956904E-2</v>
      </c>
      <c r="BR182" s="23">
        <f>EXP(-LN(2)/2)*BR181+(1-EXP(-LN(2)/2))/(LN(2)/2)*BL182*BO182*VLOOKUP('Données projet'!$B$11,Paramètres!$A$1:$I$89,3,0)*0.475*44/12</f>
        <v>8.6635047602080962E-23</v>
      </c>
      <c r="BS182" s="24">
        <f t="shared" si="169"/>
        <v>0.24895141861580222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-1.4897523215040565E-13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211.95495599943246</v>
      </c>
      <c r="CE182" s="62">
        <f t="shared" si="148"/>
        <v>270.47407508916842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0.13036799194137061</v>
      </c>
      <c r="CL182" s="23">
        <f>EXP(-LN(2)/25)*CL181+(1-EXP(-LN(2)/25))/(LN(2)/25)*Calculateur!CG182*Calculateur!CI182*VLOOKUP('Données projet'!$B$12,Paramètres!$A$1:$I$89,3,0)*0.475*44/12</f>
        <v>0.27507399657543719</v>
      </c>
      <c r="CM182" s="23">
        <f>EXP(-LN(2)/2)*CM181+(1-EXP(-LN(2)/2))/(LN(2)/2)*CG182*CJ182*VLOOKUP('Données projet'!$B$12,Paramètres!$A$1:$I$89,3,0)*0.475*44/12</f>
        <v>4.7269273378742399E-22</v>
      </c>
      <c r="CN182" s="24">
        <f t="shared" si="172"/>
        <v>0.40544198851680779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-2.5420376914553347E-13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446.5364328843699</v>
      </c>
      <c r="T183" s="62">
        <f t="shared" si="142"/>
        <v>559.96606361482179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0.28029154430651437</v>
      </c>
      <c r="AA183" s="23">
        <f>EXP(-LN(2)/25)*AA182+(1-EXP(-LN(2)/25))/(LN(2)/25)*Calculateur!V183*Calculateur!X183*VLOOKUP('Données projet'!$B$9,Paramètres!$A$1:$I$89,3,0)*0.475*44/12</f>
        <v>0.16829152520762661</v>
      </c>
      <c r="AB183" s="23">
        <f>EXP(-LN(2)/2)*AB182+(1-EXP(-LN(2)/2))/(LN(2)/2)*V183*Y183*VLOOKUP('Données projet'!$B$9,Paramètres!$A$1:$I$89,3,0)*0.475*44/12</f>
        <v>3.4653859231643899E-22</v>
      </c>
      <c r="AC183" s="24">
        <f t="shared" si="163"/>
        <v>0.44858306951414095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-3.1036506698001178E-14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164.0740581424559</v>
      </c>
      <c r="AO183" s="62">
        <f t="shared" si="144"/>
        <v>280.99861170359793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0.84040726213547101</v>
      </c>
      <c r="AV183" s="23">
        <f>EXP(-LN(2)/25)*AV182+(1-EXP(-LN(2)/25))/(LN(2)/25)*Calculateur!AQ183*Calculateur!AS183*VLOOKUP('Données projet'!$B$10,Paramètres!$A$1:$I$89,3,0)*0.475*44/12</f>
        <v>0.59405593814566859</v>
      </c>
      <c r="AW183" s="23">
        <f>EXP(-LN(2)/2)*AW182+(1-EXP(-LN(2)/2))/(LN(2)/2)*AQ183*AT183*VLOOKUP('Données projet'!$B$10,Paramètres!$A$1:$I$89,3,0)*0.475*44/12</f>
        <v>4.3243335188161114E-22</v>
      </c>
      <c r="AX183" s="23">
        <f t="shared" si="166"/>
        <v>1.4344632002811397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8.5265128291212022E-14</v>
      </c>
      <c r="BE183" s="14">
        <f>BD183*VLOOKUP('Données projet'!$B$11,Paramètres!$A$1:$I$89,3,0)*VLOOKUP('Données projet'!$B$11,Paramètres!$A$1:$I$89,5,0)</f>
        <v>3.990408004028723E-14</v>
      </c>
      <c r="BF183" s="14">
        <f t="shared" si="167"/>
        <v>6.6713074187844705E-13</v>
      </c>
      <c r="BG183" s="22">
        <f t="shared" si="168"/>
        <v>1.2314189815084623E-12</v>
      </c>
      <c r="BH183" s="62">
        <f t="shared" si="116"/>
        <v>293.33333333333456</v>
      </c>
      <c r="BI183" s="62">
        <f ca="1">AVERAGE(OFFSET($BH$3,0,0,'Données projet'!$E$11+1,1))-AVERAGE(OFFSET($H$3,0,0,'Données projet'!$E$11+1,1))</f>
        <v>90.829393941874685</v>
      </c>
      <c r="BJ183" s="62">
        <f t="shared" si="146"/>
        <v>113.5315547498717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0.15419730667433235</v>
      </c>
      <c r="BQ183" s="23">
        <f>EXP(-LN(2)/25)*BQ182+(1-EXP(-LN(2)/25))/(LN(2)/25)*Calculateur!BL183*Calculateur!BN183*VLOOKUP('Données projet'!$B$11,Paramètres!$A$1:$I$89,3,0)*0.475*44/12</f>
        <v>8.9163198921003564E-2</v>
      </c>
      <c r="BR183" s="23">
        <f>EXP(-LN(2)/2)*BR182+(1-EXP(-LN(2)/2))/(LN(2)/2)*BL183*BO183*VLOOKUP('Données projet'!$B$11,Paramètres!$A$1:$I$89,3,0)*0.475*44/12</f>
        <v>6.1260229647850792E-23</v>
      </c>
      <c r="BS183" s="24">
        <f t="shared" si="169"/>
        <v>0.2433605055953359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-1.4897523215040565E-13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211.95495599943246</v>
      </c>
      <c r="CE183" s="62">
        <f t="shared" si="148"/>
        <v>270.47407508916842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0.1278115551360238</v>
      </c>
      <c r="CL183" s="23">
        <f>EXP(-LN(2)/25)*CL182+(1-EXP(-LN(2)/25))/(LN(2)/25)*Calculateur!CG183*Calculateur!CI183*VLOOKUP('Données projet'!$B$12,Paramètres!$A$1:$I$89,3,0)*0.475*44/12</f>
        <v>0.26755208367356909</v>
      </c>
      <c r="CM183" s="23">
        <f>EXP(-LN(2)/2)*CM182+(1-EXP(-LN(2)/2))/(LN(2)/2)*CG183*CJ183*VLOOKUP('Données projet'!$B$12,Paramètres!$A$1:$I$89,3,0)*0.475*44/12</f>
        <v>3.3424423747869498E-22</v>
      </c>
      <c r="CN183" s="24">
        <f t="shared" si="172"/>
        <v>0.39536363880959291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-2.5420376914553347E-13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446.5364328843699</v>
      </c>
      <c r="T184" s="62">
        <f t="shared" si="142"/>
        <v>559.96606361482179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0.27479519808362468</v>
      </c>
      <c r="AA184" s="23">
        <f>EXP(-LN(2)/25)*AA183+(1-EXP(-LN(2)/25))/(LN(2)/25)*Calculateur!V184*Calculateur!X184*VLOOKUP('Données projet'!$B$9,Paramètres!$A$1:$I$89,3,0)*0.475*44/12</f>
        <v>0.16368958460075739</v>
      </c>
      <c r="AB184" s="23">
        <f>EXP(-LN(2)/2)*AB183+(1-EXP(-LN(2)/2))/(LN(2)/2)*V184*Y184*VLOOKUP('Données projet'!$B$9,Paramètres!$A$1:$I$89,3,0)*0.475*44/12</f>
        <v>2.4503978856979442E-22</v>
      </c>
      <c r="AC184" s="24">
        <f t="shared" si="163"/>
        <v>0.43848478268438207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-3.1036506698001178E-14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164.0740581424559</v>
      </c>
      <c r="AO184" s="62">
        <f t="shared" si="144"/>
        <v>280.99861170359793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0.82392738832280954</v>
      </c>
      <c r="AV184" s="23">
        <f>EXP(-LN(2)/25)*AV183+(1-EXP(-LN(2)/25))/(LN(2)/25)*Calculateur!AQ184*Calculateur!AS184*VLOOKUP('Données projet'!$B$10,Paramètres!$A$1:$I$89,3,0)*0.475*44/12</f>
        <v>0.57781144727703126</v>
      </c>
      <c r="AW184" s="23">
        <f>EXP(-LN(2)/2)*AW183+(1-EXP(-LN(2)/2))/(LN(2)/2)*AQ184*AT184*VLOOKUP('Données projet'!$B$10,Paramètres!$A$1:$I$89,3,0)*0.475*44/12</f>
        <v>3.0577655552671572E-22</v>
      </c>
      <c r="AX184" s="23">
        <f t="shared" si="166"/>
        <v>1.4017388355998408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8.5265128291212022E-14</v>
      </c>
      <c r="BE184" s="14">
        <f>BD184*VLOOKUP('Données projet'!$B$11,Paramètres!$A$1:$I$89,3,0)*VLOOKUP('Données projet'!$B$11,Paramètres!$A$1:$I$89,5,0)</f>
        <v>3.990408004028723E-14</v>
      </c>
      <c r="BF184" s="14">
        <f t="shared" si="167"/>
        <v>6.6713074187844705E-13</v>
      </c>
      <c r="BG184" s="22">
        <f t="shared" si="168"/>
        <v>1.2314189815084623E-12</v>
      </c>
      <c r="BH184" s="62">
        <f t="shared" si="116"/>
        <v>293.33333333333456</v>
      </c>
      <c r="BI184" s="62">
        <f ca="1">AVERAGE(OFFSET($BH$3,0,0,'Données projet'!$E$11+1,1))-AVERAGE(OFFSET($H$3,0,0,'Données projet'!$E$11+1,1))</f>
        <v>90.829393941874685</v>
      </c>
      <c r="BJ184" s="62">
        <f t="shared" si="146"/>
        <v>113.5315547498717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0.15117359154151899</v>
      </c>
      <c r="BQ184" s="23">
        <f>EXP(-LN(2)/25)*BQ183+(1-EXP(-LN(2)/25))/(LN(2)/25)*Calculateur!BL184*Calculateur!BN184*VLOOKUP('Données projet'!$B$11,Paramètres!$A$1:$I$89,3,0)*0.475*44/12</f>
        <v>8.6725026557619878E-2</v>
      </c>
      <c r="BR184" s="23">
        <f>EXP(-LN(2)/2)*BR183+(1-EXP(-LN(2)/2))/(LN(2)/2)*BL184*BO184*VLOOKUP('Données projet'!$B$11,Paramètres!$A$1:$I$89,3,0)*0.475*44/12</f>
        <v>4.3317523801040481E-23</v>
      </c>
      <c r="BS184" s="24">
        <f t="shared" si="169"/>
        <v>0.23789861809913887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-1.4897523215040565E-13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211.95495599943246</v>
      </c>
      <c r="CE184" s="62">
        <f t="shared" si="148"/>
        <v>270.47407508916842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0.12530524849715735</v>
      </c>
      <c r="CL184" s="23">
        <f>EXP(-LN(2)/25)*CL183+(1-EXP(-LN(2)/25))/(LN(2)/25)*Calculateur!CG184*Calculateur!CI184*VLOOKUP('Données projet'!$B$12,Paramètres!$A$1:$I$89,3,0)*0.475*44/12</f>
        <v>0.26023585787556275</v>
      </c>
      <c r="CM184" s="23">
        <f>EXP(-LN(2)/2)*CM183+(1-EXP(-LN(2)/2))/(LN(2)/2)*CG184*CJ184*VLOOKUP('Données projet'!$B$12,Paramètres!$A$1:$I$89,3,0)*0.475*44/12</f>
        <v>2.3634636689371199E-22</v>
      </c>
      <c r="CN184" s="24">
        <f t="shared" si="172"/>
        <v>0.3855411063727201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-2.5420376914553347E-13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446.5364328843699</v>
      </c>
      <c r="T185" s="62">
        <f t="shared" si="142"/>
        <v>559.96606361482179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0.26940663185772568</v>
      </c>
      <c r="AA185" s="23">
        <f>EXP(-LN(2)/25)*AA184+(1-EXP(-LN(2)/25))/(LN(2)/25)*Calculateur!V185*Calculateur!X185*VLOOKUP('Données projet'!$B$9,Paramètres!$A$1:$I$89,3,0)*0.475*44/12</f>
        <v>0.15921348430178853</v>
      </c>
      <c r="AB185" s="23">
        <f>EXP(-LN(2)/2)*AB184+(1-EXP(-LN(2)/2))/(LN(2)/2)*V185*Y185*VLOOKUP('Données projet'!$B$9,Paramètres!$A$1:$I$89,3,0)*0.475*44/12</f>
        <v>1.732692961582195E-22</v>
      </c>
      <c r="AC185" s="24">
        <f t="shared" si="163"/>
        <v>0.42862011615951423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-3.1036506698001178E-14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164.0740581424559</v>
      </c>
      <c r="AO185" s="62">
        <f t="shared" si="144"/>
        <v>280.99861170359793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0.80777067478388387</v>
      </c>
      <c r="AV185" s="23">
        <f>EXP(-LN(2)/25)*AV184+(1-EXP(-LN(2)/25))/(LN(2)/25)*Calculateur!AQ185*Calculateur!AS185*VLOOKUP('Données projet'!$B$10,Paramètres!$A$1:$I$89,3,0)*0.475*44/12</f>
        <v>0.56201116286545749</v>
      </c>
      <c r="AW185" s="23">
        <f>EXP(-LN(2)/2)*AW184+(1-EXP(-LN(2)/2))/(LN(2)/2)*AQ185*AT185*VLOOKUP('Données projet'!$B$10,Paramètres!$A$1:$I$89,3,0)*0.475*44/12</f>
        <v>2.1621667594080557E-22</v>
      </c>
      <c r="AX185" s="23">
        <f t="shared" si="166"/>
        <v>1.3697818376493414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8.5265128291212022E-14</v>
      </c>
      <c r="BE185" s="14">
        <f>BD185*VLOOKUP('Données projet'!$B$11,Paramètres!$A$1:$I$89,3,0)*VLOOKUP('Données projet'!$B$11,Paramètres!$A$1:$I$89,5,0)</f>
        <v>3.990408004028723E-14</v>
      </c>
      <c r="BF185" s="14">
        <f t="shared" si="167"/>
        <v>6.6713074187844705E-13</v>
      </c>
      <c r="BG185" s="22">
        <f t="shared" si="168"/>
        <v>1.2314189815084623E-12</v>
      </c>
      <c r="BH185" s="62">
        <f t="shared" si="116"/>
        <v>293.33333333333456</v>
      </c>
      <c r="BI185" s="62">
        <f ca="1">AVERAGE(OFFSET($BH$3,0,0,'Données projet'!$E$11+1,1))-AVERAGE(OFFSET($H$3,0,0,'Données projet'!$E$11+1,1))</f>
        <v>90.829393941874685</v>
      </c>
      <c r="BJ185" s="62">
        <f t="shared" si="146"/>
        <v>113.5315547498717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0.14820916961817598</v>
      </c>
      <c r="BQ185" s="23">
        <f>EXP(-LN(2)/25)*BQ184+(1-EXP(-LN(2)/25))/(LN(2)/25)*Calculateur!BL185*Calculateur!BN185*VLOOKUP('Données projet'!$B$11,Paramètres!$A$1:$I$89,3,0)*0.475*44/12</f>
        <v>8.4353526145730828E-2</v>
      </c>
      <c r="BR185" s="23">
        <f>EXP(-LN(2)/2)*BR184+(1-EXP(-LN(2)/2))/(LN(2)/2)*BL185*BO185*VLOOKUP('Données projet'!$B$11,Paramètres!$A$1:$I$89,3,0)*0.475*44/12</f>
        <v>3.0630114823925396E-23</v>
      </c>
      <c r="BS185" s="24">
        <f t="shared" si="169"/>
        <v>0.23256269576390681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-1.4897523215040565E-13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211.95495599943246</v>
      </c>
      <c r="CE185" s="62">
        <f t="shared" si="148"/>
        <v>270.47407508916842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0.12284808900278298</v>
      </c>
      <c r="CL185" s="23">
        <f>EXP(-LN(2)/25)*CL184+(1-EXP(-LN(2)/25))/(LN(2)/25)*Calculateur!CG185*Calculateur!CI185*VLOOKUP('Données projet'!$B$12,Paramètres!$A$1:$I$89,3,0)*0.475*44/12</f>
        <v>0.2531196946567465</v>
      </c>
      <c r="CM185" s="23">
        <f>EXP(-LN(2)/2)*CM184+(1-EXP(-LN(2)/2))/(LN(2)/2)*CG185*CJ185*VLOOKUP('Données projet'!$B$12,Paramètres!$A$1:$I$89,3,0)*0.475*44/12</f>
        <v>1.6712211873934749E-22</v>
      </c>
      <c r="CN185" s="24">
        <f t="shared" si="172"/>
        <v>0.37596778365952949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-2.5420376914553347E-13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446.5364328843699</v>
      </c>
      <c r="T186" s="62">
        <f t="shared" si="142"/>
        <v>559.96606361482179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0.26412373212881568</v>
      </c>
      <c r="AA186" s="23">
        <f>EXP(-LN(2)/25)*AA185+(1-EXP(-LN(2)/25))/(LN(2)/25)*Calculateur!V186*Calculateur!X186*VLOOKUP('Données projet'!$B$9,Paramètres!$A$1:$I$89,3,0)*0.475*44/12</f>
        <v>0.15485978320088287</v>
      </c>
      <c r="AB186" s="23">
        <f>EXP(-LN(2)/2)*AB185+(1-EXP(-LN(2)/2))/(LN(2)/2)*V186*Y186*VLOOKUP('Données projet'!$B$9,Paramètres!$A$1:$I$89,3,0)*0.475*44/12</f>
        <v>1.2251989428489721E-22</v>
      </c>
      <c r="AC186" s="24">
        <f t="shared" si="163"/>
        <v>0.41898351532969857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-3.1036506698001178E-14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164.0740581424559</v>
      </c>
      <c r="AO186" s="62">
        <f t="shared" si="144"/>
        <v>280.99861170359793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0.79193078454283428</v>
      </c>
      <c r="AV186" s="23">
        <f>EXP(-LN(2)/25)*AV185+(1-EXP(-LN(2)/25))/(LN(2)/25)*Calculateur!AQ186*Calculateur!AS186*VLOOKUP('Données projet'!$B$10,Paramètres!$A$1:$I$89,3,0)*0.475*44/12</f>
        <v>0.54664293806201902</v>
      </c>
      <c r="AW186" s="23">
        <f>EXP(-LN(2)/2)*AW185+(1-EXP(-LN(2)/2))/(LN(2)/2)*AQ186*AT186*VLOOKUP('Données projet'!$B$10,Paramètres!$A$1:$I$89,3,0)*0.475*44/12</f>
        <v>1.5288827776335786E-22</v>
      </c>
      <c r="AX186" s="23">
        <f t="shared" si="166"/>
        <v>1.3385737226048533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8.5265128291212022E-14</v>
      </c>
      <c r="BE186" s="14">
        <f>BD186*VLOOKUP('Données projet'!$B$11,Paramètres!$A$1:$I$89,3,0)*VLOOKUP('Données projet'!$B$11,Paramètres!$A$1:$I$89,5,0)</f>
        <v>3.990408004028723E-14</v>
      </c>
      <c r="BF186" s="14">
        <f t="shared" si="167"/>
        <v>6.6713074187844705E-13</v>
      </c>
      <c r="BG186" s="22">
        <f t="shared" si="168"/>
        <v>1.2314189815084623E-12</v>
      </c>
      <c r="BH186" s="62">
        <f t="shared" si="116"/>
        <v>293.33333333333456</v>
      </c>
      <c r="BI186" s="62">
        <f ca="1">AVERAGE(OFFSET($BH$3,0,0,'Données projet'!$E$11+1,1))-AVERAGE(OFFSET($H$3,0,0,'Données projet'!$E$11+1,1))</f>
        <v>90.829393941874685</v>
      </c>
      <c r="BJ186" s="62">
        <f t="shared" si="146"/>
        <v>113.5315547498717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0.1453028782006309</v>
      </c>
      <c r="BQ186" s="23">
        <f>EXP(-LN(2)/25)*BQ185+(1-EXP(-LN(2)/25))/(LN(2)/25)*Calculateur!BL186*Calculateur!BN186*VLOOKUP('Données projet'!$B$11,Paramètres!$A$1:$I$89,3,0)*0.475*44/12</f>
        <v>8.2046874537316669E-2</v>
      </c>
      <c r="BR186" s="23">
        <f>EXP(-LN(2)/2)*BR185+(1-EXP(-LN(2)/2))/(LN(2)/2)*BL186*BO186*VLOOKUP('Données projet'!$B$11,Paramètres!$A$1:$I$89,3,0)*0.475*44/12</f>
        <v>2.1658761900520241E-23</v>
      </c>
      <c r="BS186" s="24">
        <f t="shared" si="169"/>
        <v>0.22734975273794755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-1.4897523215040565E-13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211.95495599943246</v>
      </c>
      <c r="CE186" s="62">
        <f t="shared" si="148"/>
        <v>270.47407508916842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0.12043911290737398</v>
      </c>
      <c r="CL186" s="23">
        <f>EXP(-LN(2)/25)*CL185+(1-EXP(-LN(2)/25))/(LN(2)/25)*Calculateur!CG186*Calculateur!CI186*VLOOKUP('Données projet'!$B$12,Paramètres!$A$1:$I$89,3,0)*0.475*44/12</f>
        <v>0.24619812329537152</v>
      </c>
      <c r="CM186" s="23">
        <f>EXP(-LN(2)/2)*CM185+(1-EXP(-LN(2)/2))/(LN(2)/2)*CG186*CJ186*VLOOKUP('Données projet'!$B$12,Paramètres!$A$1:$I$89,3,0)*0.475*44/12</f>
        <v>1.18173183446856E-22</v>
      </c>
      <c r="CN186" s="24">
        <f t="shared" si="172"/>
        <v>0.36663723620274552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-2.5420376914553347E-13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446.5364328843699</v>
      </c>
      <c r="T187" s="62">
        <f t="shared" si="142"/>
        <v>559.96606361482179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0.25894442684133895</v>
      </c>
      <c r="AA187" s="23">
        <f>EXP(-LN(2)/25)*AA186+(1-EXP(-LN(2)/25))/(LN(2)/25)*Calculateur!V187*Calculateur!X187*VLOOKUP('Données projet'!$B$9,Paramètres!$A$1:$I$89,3,0)*0.475*44/12</f>
        <v>0.15062513428553267</v>
      </c>
      <c r="AB187" s="23">
        <f>EXP(-LN(2)/2)*AB186+(1-EXP(-LN(2)/2))/(LN(2)/2)*V187*Y187*VLOOKUP('Données projet'!$B$9,Paramètres!$A$1:$I$89,3,0)*0.475*44/12</f>
        <v>8.6634648079109748E-23</v>
      </c>
      <c r="AC187" s="24">
        <f t="shared" si="163"/>
        <v>0.4095695611268716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-3.1036506698001178E-14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164.0740581424559</v>
      </c>
      <c r="AO187" s="62">
        <f t="shared" si="144"/>
        <v>280.99861170359793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0.77640150488803261</v>
      </c>
      <c r="AV187" s="23">
        <f>EXP(-LN(2)/25)*AV186+(1-EXP(-LN(2)/25))/(LN(2)/25)*Calculateur!AQ187*Calculateur!AS187*VLOOKUP('Données projet'!$B$10,Paramètres!$A$1:$I$89,3,0)*0.475*44/12</f>
        <v>0.53169495817401036</v>
      </c>
      <c r="AW187" s="23">
        <f>EXP(-LN(2)/2)*AW186+(1-EXP(-LN(2)/2))/(LN(2)/2)*AQ187*AT187*VLOOKUP('Données projet'!$B$10,Paramètres!$A$1:$I$89,3,0)*0.475*44/12</f>
        <v>1.0810833797040278E-22</v>
      </c>
      <c r="AX187" s="23">
        <f t="shared" si="166"/>
        <v>1.3080964630620429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8.5265128291212022E-14</v>
      </c>
      <c r="BE187" s="14">
        <f>BD187*VLOOKUP('Données projet'!$B$11,Paramètres!$A$1:$I$89,3,0)*VLOOKUP('Données projet'!$B$11,Paramètres!$A$1:$I$89,5,0)</f>
        <v>3.990408004028723E-14</v>
      </c>
      <c r="BF187" s="14">
        <f t="shared" si="167"/>
        <v>6.6713074187844705E-13</v>
      </c>
      <c r="BG187" s="22">
        <f t="shared" si="168"/>
        <v>1.2314189815084623E-12</v>
      </c>
      <c r="BH187" s="62">
        <f t="shared" si="116"/>
        <v>293.33333333333456</v>
      </c>
      <c r="BI187" s="62">
        <f ca="1">AVERAGE(OFFSET($BH$3,0,0,'Données projet'!$E$11+1,1))-AVERAGE(OFFSET($H$3,0,0,'Données projet'!$E$11+1,1))</f>
        <v>90.829393941874685</v>
      </c>
      <c r="BJ187" s="62">
        <f t="shared" si="146"/>
        <v>113.5315547498717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0.14245357738512113</v>
      </c>
      <c r="BQ187" s="23">
        <f>EXP(-LN(2)/25)*BQ186+(1-EXP(-LN(2)/25))/(LN(2)/25)*Calculateur!BL187*Calculateur!BN187*VLOOKUP('Données projet'!$B$11,Paramètres!$A$1:$I$89,3,0)*0.475*44/12</f>
        <v>7.9803298438436129E-2</v>
      </c>
      <c r="BR187" s="23">
        <f>EXP(-LN(2)/2)*BR186+(1-EXP(-LN(2)/2))/(LN(2)/2)*BL187*BO187*VLOOKUP('Données projet'!$B$11,Paramètres!$A$1:$I$89,3,0)*0.475*44/12</f>
        <v>1.5315057411962698E-23</v>
      </c>
      <c r="BS187" s="24">
        <f t="shared" si="169"/>
        <v>0.22225687582355724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-1.4897523215040565E-13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211.95495599943246</v>
      </c>
      <c r="CE187" s="62">
        <f t="shared" si="148"/>
        <v>270.47407508916842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0.11807737536386562</v>
      </c>
      <c r="CL187" s="23">
        <f>EXP(-LN(2)/25)*CL186+(1-EXP(-LN(2)/25))/(LN(2)/25)*Calculateur!CG187*Calculateur!CI187*VLOOKUP('Données projet'!$B$12,Paramètres!$A$1:$I$89,3,0)*0.475*44/12</f>
        <v>0.23946582266686298</v>
      </c>
      <c r="CM187" s="23">
        <f>EXP(-LN(2)/2)*CM186+(1-EXP(-LN(2)/2))/(LN(2)/2)*CG187*CJ187*VLOOKUP('Données projet'!$B$12,Paramètres!$A$1:$I$89,3,0)*0.475*44/12</f>
        <v>8.3561059369673744E-23</v>
      </c>
      <c r="CN187" s="24">
        <f t="shared" si="172"/>
        <v>0.35754319803072859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-2.5420376914553347E-13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446.5364328843699</v>
      </c>
      <c r="T188" s="62">
        <f t="shared" si="142"/>
        <v>559.96606361482179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0.25386668457148531</v>
      </c>
      <c r="AA188" s="23">
        <f>EXP(-LN(2)/25)*AA187+(1-EXP(-LN(2)/25))/(LN(2)/25)*Calculateur!V188*Calculateur!X188*VLOOKUP('Données projet'!$B$9,Paramètres!$A$1:$I$89,3,0)*0.475*44/12</f>
        <v>0.14650628206746322</v>
      </c>
      <c r="AB188" s="23">
        <f>EXP(-LN(2)/2)*AB187+(1-EXP(-LN(2)/2))/(LN(2)/2)*V188*Y188*VLOOKUP('Données projet'!$B$9,Paramètres!$A$1:$I$89,3,0)*0.475*44/12</f>
        <v>6.1259947142448605E-23</v>
      </c>
      <c r="AC188" s="24">
        <f t="shared" si="163"/>
        <v>0.4003729666389485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-3.1036506698001178E-14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164.0740581424559</v>
      </c>
      <c r="AO188" s="62">
        <f t="shared" si="144"/>
        <v>280.99861170359793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0.76117674493533627</v>
      </c>
      <c r="AV188" s="23">
        <f>EXP(-LN(2)/25)*AV187+(1-EXP(-LN(2)/25))/(LN(2)/25)*Calculateur!AQ188*Calculateur!AS188*VLOOKUP('Données projet'!$B$10,Paramètres!$A$1:$I$89,3,0)*0.475*44/12</f>
        <v>0.51715573158211936</v>
      </c>
      <c r="AW188" s="23">
        <f>EXP(-LN(2)/2)*AW187+(1-EXP(-LN(2)/2))/(LN(2)/2)*AQ188*AT188*VLOOKUP('Données projet'!$B$10,Paramètres!$A$1:$I$89,3,0)*0.475*44/12</f>
        <v>7.644413888167893E-23</v>
      </c>
      <c r="AX188" s="23">
        <f t="shared" si="166"/>
        <v>1.2783324765174555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8.5265128291212022E-14</v>
      </c>
      <c r="BE188" s="14">
        <f>BD188*VLOOKUP('Données projet'!$B$11,Paramètres!$A$1:$I$89,3,0)*VLOOKUP('Données projet'!$B$11,Paramètres!$A$1:$I$89,5,0)</f>
        <v>3.990408004028723E-14</v>
      </c>
      <c r="BF188" s="14">
        <f t="shared" si="167"/>
        <v>6.6713074187844705E-13</v>
      </c>
      <c r="BG188" s="22">
        <f t="shared" si="168"/>
        <v>1.2314189815084623E-12</v>
      </c>
      <c r="BH188" s="62">
        <f t="shared" si="116"/>
        <v>293.33333333333456</v>
      </c>
      <c r="BI188" s="62">
        <f ca="1">AVERAGE(OFFSET($BH$3,0,0,'Données projet'!$E$11+1,1))-AVERAGE(OFFSET($H$3,0,0,'Données projet'!$E$11+1,1))</f>
        <v>90.829393941874685</v>
      </c>
      <c r="BJ188" s="62">
        <f t="shared" si="146"/>
        <v>113.5315547498717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0.13966014962070161</v>
      </c>
      <c r="BQ188" s="23">
        <f>EXP(-LN(2)/25)*BQ187+(1-EXP(-LN(2)/25))/(LN(2)/25)*Calculateur!BL188*Calculateur!BN188*VLOOKUP('Données projet'!$B$11,Paramètres!$A$1:$I$89,3,0)*0.475*44/12</f>
        <v>7.7621073045964023E-2</v>
      </c>
      <c r="BR188" s="23">
        <f>EXP(-LN(2)/2)*BR187+(1-EXP(-LN(2)/2))/(LN(2)/2)*BL188*BO188*VLOOKUP('Données projet'!$B$11,Paramètres!$A$1:$I$89,3,0)*0.475*44/12</f>
        <v>1.082938095026012E-23</v>
      </c>
      <c r="BS188" s="24">
        <f t="shared" si="169"/>
        <v>0.21728122266666564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-1.4897523215040565E-13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211.95495599943246</v>
      </c>
      <c r="CE188" s="62">
        <f t="shared" si="148"/>
        <v>270.47407508916842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0.11576195005306779</v>
      </c>
      <c r="CL188" s="23">
        <f>EXP(-LN(2)/25)*CL187+(1-EXP(-LN(2)/25))/(LN(2)/25)*Calculateur!CG188*Calculateur!CI188*VLOOKUP('Données projet'!$B$12,Paramètres!$A$1:$I$89,3,0)*0.475*44/12</f>
        <v>0.23291761715307729</v>
      </c>
      <c r="CM188" s="23">
        <f>EXP(-LN(2)/2)*CM187+(1-EXP(-LN(2)/2))/(LN(2)/2)*CG188*CJ188*VLOOKUP('Données projet'!$B$12,Paramètres!$A$1:$I$89,3,0)*0.475*44/12</f>
        <v>5.9086591723427999E-23</v>
      </c>
      <c r="CN188" s="24">
        <f t="shared" si="172"/>
        <v>0.34867956720614507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-2.5420376914553347E-13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446.5364328843699</v>
      </c>
      <c r="T189" s="62">
        <f t="shared" si="142"/>
        <v>559.96606361482179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0.24888851373042656</v>
      </c>
      <c r="AA189" s="23">
        <f>EXP(-LN(2)/25)*AA188+(1-EXP(-LN(2)/25))/(LN(2)/25)*Calculateur!V189*Calculateur!X189*VLOOKUP('Données projet'!$B$9,Paramètres!$A$1:$I$89,3,0)*0.475*44/12</f>
        <v>0.14250006007989791</v>
      </c>
      <c r="AB189" s="23">
        <f>EXP(-LN(2)/2)*AB188+(1-EXP(-LN(2)/2))/(LN(2)/2)*V189*Y189*VLOOKUP('Données projet'!$B$9,Paramètres!$A$1:$I$89,3,0)*0.475*44/12</f>
        <v>4.3317324039554874E-23</v>
      </c>
      <c r="AC189" s="24">
        <f t="shared" si="163"/>
        <v>0.39138857381032444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-3.1036506698001178E-14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164.0740581424559</v>
      </c>
      <c r="AO189" s="62">
        <f t="shared" si="144"/>
        <v>280.99861170359793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0.74625053323912571</v>
      </c>
      <c r="AV189" s="23">
        <f>EXP(-LN(2)/25)*AV188+(1-EXP(-LN(2)/25))/(LN(2)/25)*Calculateur!AQ189*Calculateur!AS189*VLOOKUP('Données projet'!$B$10,Paramètres!$A$1:$I$89,3,0)*0.475*44/12</f>
        <v>0.50301408090596833</v>
      </c>
      <c r="AW189" s="23">
        <f>EXP(-LN(2)/2)*AW188+(1-EXP(-LN(2)/2))/(LN(2)/2)*AQ189*AT189*VLOOKUP('Données projet'!$B$10,Paramètres!$A$1:$I$89,3,0)*0.475*44/12</f>
        <v>5.4054168985201392E-23</v>
      </c>
      <c r="AX189" s="23">
        <f t="shared" si="166"/>
        <v>1.249264614145094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8.5265128291212022E-14</v>
      </c>
      <c r="BE189" s="14">
        <f>BD189*VLOOKUP('Données projet'!$B$11,Paramètres!$A$1:$I$89,3,0)*VLOOKUP('Données projet'!$B$11,Paramètres!$A$1:$I$89,5,0)</f>
        <v>3.990408004028723E-14</v>
      </c>
      <c r="BF189" s="14">
        <f t="shared" si="167"/>
        <v>6.6713074187844705E-13</v>
      </c>
      <c r="BG189" s="22">
        <f t="shared" si="168"/>
        <v>1.2314189815084623E-12</v>
      </c>
      <c r="BH189" s="62">
        <f t="shared" si="116"/>
        <v>293.33333333333456</v>
      </c>
      <c r="BI189" s="62">
        <f ca="1">AVERAGE(OFFSET($BH$3,0,0,'Données projet'!$E$11+1,1))-AVERAGE(OFFSET($H$3,0,0,'Données projet'!$E$11+1,1))</f>
        <v>90.829393941874685</v>
      </c>
      <c r="BJ189" s="62">
        <f t="shared" si="146"/>
        <v>113.5315547498717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0.13692149927091968</v>
      </c>
      <c r="BQ189" s="23">
        <f>EXP(-LN(2)/25)*BQ188+(1-EXP(-LN(2)/25))/(LN(2)/25)*Calculateur!BL189*Calculateur!BN189*VLOOKUP('Données projet'!$B$11,Paramètres!$A$1:$I$89,3,0)*0.475*44/12</f>
        <v>7.5498520721607315E-2</v>
      </c>
      <c r="BR189" s="23">
        <f>EXP(-LN(2)/2)*BR188+(1-EXP(-LN(2)/2))/(LN(2)/2)*BL189*BO189*VLOOKUP('Données projet'!$B$11,Paramètres!$A$1:$I$89,3,0)*0.475*44/12</f>
        <v>7.657528705981349E-24</v>
      </c>
      <c r="BS189" s="24">
        <f t="shared" si="169"/>
        <v>0.21242001999252699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-1.4897523215040565E-13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211.95495599943246</v>
      </c>
      <c r="CE189" s="62">
        <f t="shared" si="148"/>
        <v>270.47407508916842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0.11349192882034471</v>
      </c>
      <c r="CL189" s="23">
        <f>EXP(-LN(2)/25)*CL188+(1-EXP(-LN(2)/25))/(LN(2)/25)*Calculateur!CG189*Calculateur!CI189*VLOOKUP('Données projet'!$B$12,Paramètres!$A$1:$I$89,3,0)*0.475*44/12</f>
        <v>0.22654847266342126</v>
      </c>
      <c r="CM189" s="23">
        <f>EXP(-LN(2)/2)*CM188+(1-EXP(-LN(2)/2))/(LN(2)/2)*CG189*CJ189*VLOOKUP('Données projet'!$B$12,Paramètres!$A$1:$I$89,3,0)*0.475*44/12</f>
        <v>4.1780529684836872E-23</v>
      </c>
      <c r="CN189" s="24">
        <f t="shared" si="172"/>
        <v>0.34004040148376596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-2.5420376914553347E-13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446.5364328843699</v>
      </c>
      <c r="T190" s="62">
        <f t="shared" si="142"/>
        <v>559.96606361482179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0.24400796178317657</v>
      </c>
      <c r="AA190" s="23">
        <f>EXP(-LN(2)/25)*AA189+(1-EXP(-LN(2)/25))/(LN(2)/25)*Calculateur!V190*Calculateur!X190*VLOOKUP('Données projet'!$B$9,Paramètres!$A$1:$I$89,3,0)*0.475*44/12</f>
        <v>0.13860338844326062</v>
      </c>
      <c r="AB190" s="23">
        <f>EXP(-LN(2)/2)*AB189+(1-EXP(-LN(2)/2))/(LN(2)/2)*V190*Y190*VLOOKUP('Données projet'!$B$9,Paramètres!$A$1:$I$89,3,0)*0.475*44/12</f>
        <v>3.0629973571224303E-23</v>
      </c>
      <c r="AC190" s="24">
        <f t="shared" si="163"/>
        <v>0.38261135022643722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-3.1036506698001178E-14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164.0740581424559</v>
      </c>
      <c r="AO190" s="62">
        <f t="shared" si="144"/>
        <v>280.99861170359793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0.73161701545018765</v>
      </c>
      <c r="AV190" s="23">
        <f>EXP(-LN(2)/25)*AV189+(1-EXP(-LN(2)/25))/(LN(2)/25)*Calculateur!AQ190*Calculateur!AS190*VLOOKUP('Données projet'!$B$10,Paramètres!$A$1:$I$89,3,0)*0.475*44/12</f>
        <v>0.48925913441123375</v>
      </c>
      <c r="AW190" s="23">
        <f>EXP(-LN(2)/2)*AW189+(1-EXP(-LN(2)/2))/(LN(2)/2)*AQ190*AT190*VLOOKUP('Données projet'!$B$10,Paramètres!$A$1:$I$89,3,0)*0.475*44/12</f>
        <v>3.8222069440839465E-23</v>
      </c>
      <c r="AX190" s="23">
        <f t="shared" si="166"/>
        <v>1.2208761498614213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8.5265128291212022E-14</v>
      </c>
      <c r="BE190" s="14">
        <f>BD190*VLOOKUP('Données projet'!$B$11,Paramètres!$A$1:$I$89,3,0)*VLOOKUP('Données projet'!$B$11,Paramètres!$A$1:$I$89,5,0)</f>
        <v>3.990408004028723E-14</v>
      </c>
      <c r="BF190" s="14">
        <f t="shared" si="167"/>
        <v>6.6713074187844705E-13</v>
      </c>
      <c r="BG190" s="22">
        <f t="shared" si="168"/>
        <v>1.2314189815084623E-12</v>
      </c>
      <c r="BH190" s="62">
        <f t="shared" si="116"/>
        <v>293.33333333333456</v>
      </c>
      <c r="BI190" s="62">
        <f ca="1">AVERAGE(OFFSET($BH$3,0,0,'Données projet'!$E$11+1,1))-AVERAGE(OFFSET($H$3,0,0,'Données projet'!$E$11+1,1))</f>
        <v>90.829393941874685</v>
      </c>
      <c r="BJ190" s="62">
        <f t="shared" si="146"/>
        <v>113.5315547498717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0.1342365521840852</v>
      </c>
      <c r="BQ190" s="23">
        <f>EXP(-LN(2)/25)*BQ189+(1-EXP(-LN(2)/25))/(LN(2)/25)*Calculateur!BL190*Calculateur!BN190*VLOOKUP('Données projet'!$B$11,Paramètres!$A$1:$I$89,3,0)*0.475*44/12</f>
        <v>7.3434009702180308E-2</v>
      </c>
      <c r="BR190" s="23">
        <f>EXP(-LN(2)/2)*BR189+(1-EXP(-LN(2)/2))/(LN(2)/2)*BL190*BO190*VLOOKUP('Données projet'!$B$11,Paramètres!$A$1:$I$89,3,0)*0.475*44/12</f>
        <v>5.4146904751300601E-24</v>
      </c>
      <c r="BS190" s="24">
        <f t="shared" si="169"/>
        <v>0.20767056188626551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-1.4897523215040565E-13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211.95495599943246</v>
      </c>
      <c r="CE190" s="62">
        <f t="shared" si="148"/>
        <v>270.47407508916842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0.11126642131941911</v>
      </c>
      <c r="CL190" s="23">
        <f>EXP(-LN(2)/25)*CL189+(1-EXP(-LN(2)/25))/(LN(2)/25)*Calculateur!CG190*Calculateur!CI190*VLOOKUP('Données projet'!$B$12,Paramètres!$A$1:$I$89,3,0)*0.475*44/12</f>
        <v>0.22035349276477362</v>
      </c>
      <c r="CM190" s="23">
        <f>EXP(-LN(2)/2)*CM189+(1-EXP(-LN(2)/2))/(LN(2)/2)*CG190*CJ190*VLOOKUP('Données projet'!$B$12,Paramètres!$A$1:$I$89,3,0)*0.475*44/12</f>
        <v>2.9543295861713999E-23</v>
      </c>
      <c r="CN190" s="24">
        <f t="shared" si="172"/>
        <v>0.33161991408419272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-2.5420376914553347E-13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446.5364328843699</v>
      </c>
      <c r="T191" s="62">
        <f t="shared" si="142"/>
        <v>559.96606361482179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0.23922311448276942</v>
      </c>
      <c r="AA191" s="23">
        <f>EXP(-LN(2)/25)*AA190+(1-EXP(-LN(2)/25))/(LN(2)/25)*Calculateur!V191*Calculateur!X191*VLOOKUP('Données projet'!$B$9,Paramètres!$A$1:$I$89,3,0)*0.475*44/12</f>
        <v>0.13481327149744424</v>
      </c>
      <c r="AB191" s="23">
        <f>EXP(-LN(2)/2)*AB190+(1-EXP(-LN(2)/2))/(LN(2)/2)*V191*Y191*VLOOKUP('Données projet'!$B$9,Paramètres!$A$1:$I$89,3,0)*0.475*44/12</f>
        <v>2.1658662019777437E-23</v>
      </c>
      <c r="AC191" s="24">
        <f t="shared" si="163"/>
        <v>0.37403638598021366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-3.1036506698001178E-14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164.0740581424559</v>
      </c>
      <c r="AO191" s="62">
        <f t="shared" si="144"/>
        <v>280.99861170359793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0.71727045201952611</v>
      </c>
      <c r="AV191" s="23">
        <f>EXP(-LN(2)/25)*AV190+(1-EXP(-LN(2)/25))/(LN(2)/25)*Calculateur!AQ191*Calculateur!AS191*VLOOKUP('Données projet'!$B$10,Paramètres!$A$1:$I$89,3,0)*0.475*44/12</f>
        <v>0.47588031765173888</v>
      </c>
      <c r="AW191" s="23">
        <f>EXP(-LN(2)/2)*AW190+(1-EXP(-LN(2)/2))/(LN(2)/2)*AQ191*AT191*VLOOKUP('Données projet'!$B$10,Paramètres!$A$1:$I$89,3,0)*0.475*44/12</f>
        <v>2.7027084492600696E-23</v>
      </c>
      <c r="AX191" s="23">
        <f t="shared" si="166"/>
        <v>1.1931507696712651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8.5265128291212022E-14</v>
      </c>
      <c r="BE191" s="14">
        <f>BD191*VLOOKUP('Données projet'!$B$11,Paramètres!$A$1:$I$89,3,0)*VLOOKUP('Données projet'!$B$11,Paramètres!$A$1:$I$89,5,0)</f>
        <v>3.990408004028723E-14</v>
      </c>
      <c r="BF191" s="14">
        <f t="shared" si="167"/>
        <v>6.6713074187844705E-13</v>
      </c>
      <c r="BG191" s="22">
        <f t="shared" si="168"/>
        <v>1.2314189815084623E-12</v>
      </c>
      <c r="BH191" s="62">
        <f t="shared" si="116"/>
        <v>293.33333333333456</v>
      </c>
      <c r="BI191" s="62">
        <f ca="1">AVERAGE(OFFSET($BH$3,0,0,'Données projet'!$E$11+1,1))-AVERAGE(OFFSET($H$3,0,0,'Données projet'!$E$11+1,1))</f>
        <v>90.829393941874685</v>
      </c>
      <c r="BJ191" s="62">
        <f t="shared" si="146"/>
        <v>113.5315547498717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0.13160425527196751</v>
      </c>
      <c r="BQ191" s="23">
        <f>EXP(-LN(2)/25)*BQ190+(1-EXP(-LN(2)/25))/(LN(2)/25)*Calculateur!BL191*Calculateur!BN191*VLOOKUP('Données projet'!$B$11,Paramètres!$A$1:$I$89,3,0)*0.475*44/12</f>
        <v>7.1425952845147453E-2</v>
      </c>
      <c r="BR191" s="23">
        <f>EXP(-LN(2)/2)*BR190+(1-EXP(-LN(2)/2))/(LN(2)/2)*BL191*BO191*VLOOKUP('Données projet'!$B$11,Paramètres!$A$1:$I$89,3,0)*0.475*44/12</f>
        <v>3.8287643529906745E-24</v>
      </c>
      <c r="BS191" s="24">
        <f t="shared" si="169"/>
        <v>0.20303020811711497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-1.4897523215040565E-13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211.95495599943246</v>
      </c>
      <c r="CE191" s="62">
        <f t="shared" si="148"/>
        <v>270.47407508916842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0.10908455466316111</v>
      </c>
      <c r="CL191" s="23">
        <f>EXP(-LN(2)/25)*CL190+(1-EXP(-LN(2)/25))/(LN(2)/25)*Calculateur!CG191*Calculateur!CI191*VLOOKUP('Données projet'!$B$12,Paramètres!$A$1:$I$89,3,0)*0.475*44/12</f>
        <v>0.21432791491723432</v>
      </c>
      <c r="CM191" s="23">
        <f>EXP(-LN(2)/2)*CM190+(1-EXP(-LN(2)/2))/(LN(2)/2)*CG191*CJ191*VLOOKUP('Données projet'!$B$12,Paramètres!$A$1:$I$89,3,0)*0.475*44/12</f>
        <v>2.0890264842418436E-23</v>
      </c>
      <c r="CN191" s="24">
        <f t="shared" si="172"/>
        <v>0.32341246958039543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-2.5420376914553347E-13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446.5364328843699</v>
      </c>
      <c r="T192" s="62">
        <f t="shared" si="142"/>
        <v>559.96606361482179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0.23453209511945455</v>
      </c>
      <c r="AA192" s="23">
        <f>EXP(-LN(2)/25)*AA191+(1-EXP(-LN(2)/25))/(LN(2)/25)*Calculateur!V192*Calculateur!X192*VLOOKUP('Données projet'!$B$9,Paramètres!$A$1:$I$89,3,0)*0.475*44/12</f>
        <v>0.13112679549882481</v>
      </c>
      <c r="AB192" s="23">
        <f>EXP(-LN(2)/2)*AB191+(1-EXP(-LN(2)/2))/(LN(2)/2)*V192*Y192*VLOOKUP('Données projet'!$B$9,Paramètres!$A$1:$I$89,3,0)*0.475*44/12</f>
        <v>1.5314986785612151E-23</v>
      </c>
      <c r="AC192" s="24">
        <f t="shared" si="163"/>
        <v>0.36565889061827939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-3.1036506698001178E-14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164.0740581424559</v>
      </c>
      <c r="AO192" s="62">
        <f t="shared" si="144"/>
        <v>280.99861170359793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0.7032052159472002</v>
      </c>
      <c r="AV192" s="23">
        <f>EXP(-LN(2)/25)*AV191+(1-EXP(-LN(2)/25))/(LN(2)/25)*Calculateur!AQ192*Calculateur!AS192*VLOOKUP('Données projet'!$B$10,Paramètres!$A$1:$I$89,3,0)*0.475*44/12</f>
        <v>0.46286734534009383</v>
      </c>
      <c r="AW192" s="23">
        <f>EXP(-LN(2)/2)*AW191+(1-EXP(-LN(2)/2))/(LN(2)/2)*AQ192*AT192*VLOOKUP('Données projet'!$B$10,Paramètres!$A$1:$I$89,3,0)*0.475*44/12</f>
        <v>1.9111034720419732E-23</v>
      </c>
      <c r="AX192" s="23">
        <f t="shared" si="166"/>
        <v>1.166072561287294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8.5265128291212022E-14</v>
      </c>
      <c r="BE192" s="14">
        <f>BD192*VLOOKUP('Données projet'!$B$11,Paramètres!$A$1:$I$89,3,0)*VLOOKUP('Données projet'!$B$11,Paramètres!$A$1:$I$89,5,0)</f>
        <v>3.990408004028723E-14</v>
      </c>
      <c r="BF192" s="14">
        <f t="shared" si="167"/>
        <v>6.6713074187844705E-13</v>
      </c>
      <c r="BG192" s="22">
        <f t="shared" si="168"/>
        <v>1.2314189815084623E-12</v>
      </c>
      <c r="BH192" s="62">
        <f t="shared" si="116"/>
        <v>293.33333333333456</v>
      </c>
      <c r="BI192" s="62">
        <f ca="1">AVERAGE(OFFSET($BH$3,0,0,'Données projet'!$E$11+1,1))-AVERAGE(OFFSET($H$3,0,0,'Données projet'!$E$11+1,1))</f>
        <v>90.829393941874685</v>
      </c>
      <c r="BJ192" s="62">
        <f t="shared" si="146"/>
        <v>113.5315547498717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0.12902357609675388</v>
      </c>
      <c r="BQ192" s="23">
        <f>EXP(-LN(2)/25)*BQ191+(1-EXP(-LN(2)/25))/(LN(2)/25)*Calculateur!BL192*Calculateur!BN192*VLOOKUP('Données projet'!$B$11,Paramètres!$A$1:$I$89,3,0)*0.475*44/12</f>
        <v>6.9472806408469284E-2</v>
      </c>
      <c r="BR192" s="23">
        <f>EXP(-LN(2)/2)*BR191+(1-EXP(-LN(2)/2))/(LN(2)/2)*BL192*BO192*VLOOKUP('Données projet'!$B$11,Paramètres!$A$1:$I$89,3,0)*0.475*44/12</f>
        <v>2.7073452375650301E-24</v>
      </c>
      <c r="BS192" s="24">
        <f t="shared" si="169"/>
        <v>0.19849638250522317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-1.4897523215040565E-13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211.95495599943246</v>
      </c>
      <c r="CE192" s="62">
        <f t="shared" si="148"/>
        <v>270.47407508916842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0.10694547308122508</v>
      </c>
      <c r="CL192" s="23">
        <f>EXP(-LN(2)/25)*CL191+(1-EXP(-LN(2)/25))/(LN(2)/25)*Calculateur!CG192*Calculateur!CI192*VLOOKUP('Données projet'!$B$12,Paramètres!$A$1:$I$89,3,0)*0.475*44/12</f>
        <v>0.20846710681280736</v>
      </c>
      <c r="CM192" s="23">
        <f>EXP(-LN(2)/2)*CM191+(1-EXP(-LN(2)/2))/(LN(2)/2)*CG192*CJ192*VLOOKUP('Données projet'!$B$12,Paramètres!$A$1:$I$89,3,0)*0.475*44/12</f>
        <v>1.4771647930857E-23</v>
      </c>
      <c r="CN192" s="24">
        <f t="shared" si="172"/>
        <v>0.31541257989403243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-2.5420376914553347E-13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446.5364328843699</v>
      </c>
      <c r="T193" s="62">
        <f t="shared" si="142"/>
        <v>559.96606361482179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0.229933063784615</v>
      </c>
      <c r="AA193" s="23">
        <f>EXP(-LN(2)/25)*AA192+(1-EXP(-LN(2)/25))/(LN(2)/25)*Calculateur!V193*Calculateur!X193*VLOOKUP('Données projet'!$B$9,Paramètres!$A$1:$I$89,3,0)*0.475*44/12</f>
        <v>0.12754112638025095</v>
      </c>
      <c r="AB193" s="23">
        <f>EXP(-LN(2)/2)*AB192+(1-EXP(-LN(2)/2))/(LN(2)/2)*V193*Y193*VLOOKUP('Données projet'!$B$9,Paramètres!$A$1:$I$89,3,0)*0.475*44/12</f>
        <v>1.0829331009888719E-23</v>
      </c>
      <c r="AC193" s="24">
        <f t="shared" si="163"/>
        <v>0.35747419016486592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-3.1036506698001178E-14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164.0740581424559</v>
      </c>
      <c r="AO193" s="62">
        <f t="shared" si="144"/>
        <v>280.99861170359793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0.68941579057530566</v>
      </c>
      <c r="AV193" s="23">
        <f>EXP(-LN(2)/25)*AV192+(1-EXP(-LN(2)/25))/(LN(2)/25)*Calculateur!AQ193*Calculateur!AS193*VLOOKUP('Données projet'!$B$10,Paramètres!$A$1:$I$89,3,0)*0.475*44/12</f>
        <v>0.45021021344063317</v>
      </c>
      <c r="AW193" s="23">
        <f>EXP(-LN(2)/2)*AW192+(1-EXP(-LN(2)/2))/(LN(2)/2)*AQ193*AT193*VLOOKUP('Données projet'!$B$10,Paramètres!$A$1:$I$89,3,0)*0.475*44/12</f>
        <v>1.3513542246300348E-23</v>
      </c>
      <c r="AX193" s="23">
        <f t="shared" si="166"/>
        <v>1.1396260040159389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8.5265128291212022E-14</v>
      </c>
      <c r="BE193" s="14">
        <f>BD193*VLOOKUP('Données projet'!$B$11,Paramètres!$A$1:$I$89,3,0)*VLOOKUP('Données projet'!$B$11,Paramètres!$A$1:$I$89,5,0)</f>
        <v>3.990408004028723E-14</v>
      </c>
      <c r="BF193" s="14">
        <f t="shared" si="167"/>
        <v>6.6713074187844705E-13</v>
      </c>
      <c r="BG193" s="22">
        <f t="shared" si="168"/>
        <v>1.2314189815084623E-12</v>
      </c>
      <c r="BH193" s="62">
        <f t="shared" si="116"/>
        <v>293.33333333333456</v>
      </c>
      <c r="BI193" s="62">
        <f ca="1">AVERAGE(OFFSET($BH$3,0,0,'Données projet'!$E$11+1,1))-AVERAGE(OFFSET($H$3,0,0,'Données projet'!$E$11+1,1))</f>
        <v>90.829393941874685</v>
      </c>
      <c r="BJ193" s="62">
        <f t="shared" si="146"/>
        <v>113.5315547498717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0.12649350246610733</v>
      </c>
      <c r="BQ193" s="23">
        <f>EXP(-LN(2)/25)*BQ192+(1-EXP(-LN(2)/25))/(LN(2)/25)*Calculateur!BL193*Calculateur!BN193*VLOOKUP('Données projet'!$B$11,Paramètres!$A$1:$I$89,3,0)*0.475*44/12</f>
        <v>6.757306886381359E-2</v>
      </c>
      <c r="BR193" s="23">
        <f>EXP(-LN(2)/2)*BR192+(1-EXP(-LN(2)/2))/(LN(2)/2)*BL193*BO193*VLOOKUP('Données projet'!$B$11,Paramètres!$A$1:$I$89,3,0)*0.475*44/12</f>
        <v>1.9143821764953372E-24</v>
      </c>
      <c r="BS193" s="24">
        <f t="shared" si="169"/>
        <v>0.19406657132992092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-1.4897523215040565E-13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211.95495599943246</v>
      </c>
      <c r="CE193" s="62">
        <f t="shared" si="148"/>
        <v>270.47407508916842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0.10484833758439988</v>
      </c>
      <c r="CL193" s="23">
        <f>EXP(-LN(2)/25)*CL192+(1-EXP(-LN(2)/25))/(LN(2)/25)*Calculateur!CG193*Calculateur!CI193*VLOOKUP('Données projet'!$B$12,Paramètres!$A$1:$I$89,3,0)*0.475*44/12</f>
        <v>0.20276656281420247</v>
      </c>
      <c r="CM193" s="23">
        <f>EXP(-LN(2)/2)*CM192+(1-EXP(-LN(2)/2))/(LN(2)/2)*CG193*CJ193*VLOOKUP('Données projet'!$B$12,Paramètres!$A$1:$I$89,3,0)*0.475*44/12</f>
        <v>1.0445132421209218E-23</v>
      </c>
      <c r="CN193" s="24">
        <f t="shared" si="172"/>
        <v>0.30761490039860234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-2.5420376914553347E-13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446.5364328843699</v>
      </c>
      <c r="T194" s="62">
        <f t="shared" si="142"/>
        <v>559.96606361482179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0.22542421664911955</v>
      </c>
      <c r="AA194" s="23">
        <f>EXP(-LN(2)/25)*AA193+(1-EXP(-LN(2)/25))/(LN(2)/25)*Calculateur!V194*Calculateur!X194*VLOOKUP('Données projet'!$B$9,Paramètres!$A$1:$I$89,3,0)*0.475*44/12</f>
        <v>0.12405350757228664</v>
      </c>
      <c r="AB194" s="23">
        <f>EXP(-LN(2)/2)*AB193+(1-EXP(-LN(2)/2))/(LN(2)/2)*V194*Y194*VLOOKUP('Données projet'!$B$9,Paramètres!$A$1:$I$89,3,0)*0.475*44/12</f>
        <v>7.6574933928060756E-24</v>
      </c>
      <c r="AC194" s="24">
        <f t="shared" si="163"/>
        <v>0.34947772422140622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-3.1036506698001178E-14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164.0740581424559</v>
      </c>
      <c r="AO194" s="62">
        <f t="shared" si="144"/>
        <v>280.99861170359793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0.67589676742423499</v>
      </c>
      <c r="AV194" s="23">
        <f>EXP(-LN(2)/25)*AV193+(1-EXP(-LN(2)/25))/(LN(2)/25)*Calculateur!AQ194*Calculateur!AS194*VLOOKUP('Données projet'!$B$10,Paramètres!$A$1:$I$89,3,0)*0.475*44/12</f>
        <v>0.43789919147857292</v>
      </c>
      <c r="AW194" s="23">
        <f>EXP(-LN(2)/2)*AW193+(1-EXP(-LN(2)/2))/(LN(2)/2)*AQ194*AT194*VLOOKUP('Données projet'!$B$10,Paramètres!$A$1:$I$89,3,0)*0.475*44/12</f>
        <v>9.5555173602098662E-24</v>
      </c>
      <c r="AX194" s="23">
        <f t="shared" si="166"/>
        <v>1.1137959589028079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8.5265128291212022E-14</v>
      </c>
      <c r="BE194" s="14">
        <f>BD194*VLOOKUP('Données projet'!$B$11,Paramètres!$A$1:$I$89,3,0)*VLOOKUP('Données projet'!$B$11,Paramètres!$A$1:$I$89,5,0)</f>
        <v>3.990408004028723E-14</v>
      </c>
      <c r="BF194" s="14">
        <f t="shared" si="167"/>
        <v>6.6713074187844705E-13</v>
      </c>
      <c r="BG194" s="22">
        <f t="shared" si="168"/>
        <v>1.2314189815084623E-12</v>
      </c>
      <c r="BH194" s="62">
        <f t="shared" si="116"/>
        <v>293.33333333333456</v>
      </c>
      <c r="BI194" s="62">
        <f ca="1">AVERAGE(OFFSET($BH$3,0,0,'Données projet'!$E$11+1,1))-AVERAGE(OFFSET($H$3,0,0,'Données projet'!$E$11+1,1))</f>
        <v>90.829393941874685</v>
      </c>
      <c r="BJ194" s="62">
        <f t="shared" si="146"/>
        <v>113.5315547498717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0.1240130420361652</v>
      </c>
      <c r="BQ194" s="23">
        <f>EXP(-LN(2)/25)*BQ193+(1-EXP(-LN(2)/25))/(LN(2)/25)*Calculateur!BL194*Calculateur!BN194*VLOOKUP('Données projet'!$B$11,Paramètres!$A$1:$I$89,3,0)*0.475*44/12</f>
        <v>6.5725279742219353E-2</v>
      </c>
      <c r="BR194" s="23">
        <f>EXP(-LN(2)/2)*BR193+(1-EXP(-LN(2)/2))/(LN(2)/2)*BL194*BO194*VLOOKUP('Données projet'!$B$11,Paramètres!$A$1:$I$89,3,0)*0.475*44/12</f>
        <v>1.353672618782515E-24</v>
      </c>
      <c r="BS194" s="24">
        <f t="shared" si="169"/>
        <v>0.18973832177838457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-1.4897523215040565E-13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211.95495599943246</v>
      </c>
      <c r="CE194" s="62">
        <f t="shared" si="148"/>
        <v>270.47407508916842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0.10279232563554107</v>
      </c>
      <c r="CL194" s="23">
        <f>EXP(-LN(2)/25)*CL193+(1-EXP(-LN(2)/25))/(LN(2)/25)*Calculateur!CG194*Calculateur!CI194*VLOOKUP('Données projet'!$B$12,Paramètres!$A$1:$I$89,3,0)*0.475*44/12</f>
        <v>0.19722190049101798</v>
      </c>
      <c r="CM194" s="23">
        <f>EXP(-LN(2)/2)*CM193+(1-EXP(-LN(2)/2))/(LN(2)/2)*CG194*CJ194*VLOOKUP('Données projet'!$B$12,Paramètres!$A$1:$I$89,3,0)*0.475*44/12</f>
        <v>7.3858239654284998E-24</v>
      </c>
      <c r="CN194" s="24">
        <f t="shared" si="172"/>
        <v>0.30001422612655904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-2.5420376914553347E-13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446.5364328843699</v>
      </c>
      <c r="T195" s="62">
        <f t="shared" si="142"/>
        <v>559.96606361482179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0.22100378525582595</v>
      </c>
      <c r="AA195" s="23">
        <f>EXP(-LN(2)/25)*AA194+(1-EXP(-LN(2)/25))/(LN(2)/25)*Calculateur!V195*Calculateur!X195*VLOOKUP('Données projet'!$B$9,Paramètres!$A$1:$I$89,3,0)*0.475*44/12</f>
        <v>0.12066125788403202</v>
      </c>
      <c r="AB195" s="23">
        <f>EXP(-LN(2)/2)*AB194+(1-EXP(-LN(2)/2))/(LN(2)/2)*V195*Y195*VLOOKUP('Données projet'!$B$9,Paramètres!$A$1:$I$89,3,0)*0.475*44/12</f>
        <v>5.4146655049443593E-24</v>
      </c>
      <c r="AC195" s="24">
        <f t="shared" si="163"/>
        <v>0.34166504313985796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-3.1036506698001178E-14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164.0740581424559</v>
      </c>
      <c r="AO195" s="62">
        <f t="shared" si="144"/>
        <v>280.99861170359793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0.66264284407136698</v>
      </c>
      <c r="AV195" s="23">
        <f>EXP(-LN(2)/25)*AV194+(1-EXP(-LN(2)/25))/(LN(2)/25)*Calculateur!AQ195*Calculateur!AS195*VLOOKUP('Données projet'!$B$10,Paramètres!$A$1:$I$89,3,0)*0.475*44/12</f>
        <v>0.42592481505947372</v>
      </c>
      <c r="AW195" s="23">
        <f>EXP(-LN(2)/2)*AW194+(1-EXP(-LN(2)/2))/(LN(2)/2)*AQ195*AT195*VLOOKUP('Données projet'!$B$10,Paramètres!$A$1:$I$89,3,0)*0.475*44/12</f>
        <v>6.756771123150174E-24</v>
      </c>
      <c r="AX195" s="23">
        <f t="shared" si="166"/>
        <v>1.0885676591308406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8.5265128291212022E-14</v>
      </c>
      <c r="BE195" s="14">
        <f>BD195*VLOOKUP('Données projet'!$B$11,Paramètres!$A$1:$I$89,3,0)*VLOOKUP('Données projet'!$B$11,Paramètres!$A$1:$I$89,5,0)</f>
        <v>3.990408004028723E-14</v>
      </c>
      <c r="BF195" s="14">
        <f t="shared" si="167"/>
        <v>6.6713074187844705E-13</v>
      </c>
      <c r="BG195" s="22">
        <f t="shared" si="168"/>
        <v>1.2314189815084623E-12</v>
      </c>
      <c r="BH195" s="62">
        <f t="shared" si="116"/>
        <v>293.33333333333456</v>
      </c>
      <c r="BI195" s="62">
        <f ca="1">AVERAGE(OFFSET($BH$3,0,0,'Données projet'!$E$11+1,1))-AVERAGE(OFFSET($H$3,0,0,'Données projet'!$E$11+1,1))</f>
        <v>90.829393941874685</v>
      </c>
      <c r="BJ195" s="62">
        <f t="shared" si="146"/>
        <v>113.5315547498717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0.12158122192232276</v>
      </c>
      <c r="BQ195" s="23">
        <f>EXP(-LN(2)/25)*BQ194+(1-EXP(-LN(2)/25))/(LN(2)/25)*Calculateur!BL195*Calculateur!BN195*VLOOKUP('Données projet'!$B$11,Paramètres!$A$1:$I$89,3,0)*0.475*44/12</f>
        <v>6.3928018511326123E-2</v>
      </c>
      <c r="BR195" s="23">
        <f>EXP(-LN(2)/2)*BR194+(1-EXP(-LN(2)/2))/(LN(2)/2)*BL195*BO195*VLOOKUP('Données projet'!$B$11,Paramètres!$A$1:$I$89,3,0)*0.475*44/12</f>
        <v>9.5719108824766862E-25</v>
      </c>
      <c r="BS195" s="24">
        <f t="shared" si="169"/>
        <v>0.18550924043364889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-1.4897523215040565E-13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211.95495599943246</v>
      </c>
      <c r="CE195" s="62">
        <f t="shared" si="148"/>
        <v>270.47407508916842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0.10077663082695591</v>
      </c>
      <c r="CL195" s="23">
        <f>EXP(-LN(2)/25)*CL194+(1-EXP(-LN(2)/25))/(LN(2)/25)*Calculateur!CG195*Calculateur!CI195*VLOOKUP('Données projet'!$B$12,Paramètres!$A$1:$I$89,3,0)*0.475*44/12</f>
        <v>0.19182885725064211</v>
      </c>
      <c r="CM195" s="23">
        <f>EXP(-LN(2)/2)*CM194+(1-EXP(-LN(2)/2))/(LN(2)/2)*CG195*CJ195*VLOOKUP('Données projet'!$B$12,Paramètres!$A$1:$I$89,3,0)*0.475*44/12</f>
        <v>5.222566210604609E-24</v>
      </c>
      <c r="CN195" s="24">
        <f t="shared" si="172"/>
        <v>0.29260548807759801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-2.5420376914553347E-13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446.5364328843699</v>
      </c>
      <c r="T196" s="62">
        <f t="shared" si="142"/>
        <v>559.96606361482179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0.21667003582595792</v>
      </c>
      <c r="AA196" s="23">
        <f>EXP(-LN(2)/25)*AA195+(1-EXP(-LN(2)/25))/(LN(2)/25)*Calculateur!V196*Calculateur!X196*VLOOKUP('Données projet'!$B$9,Paramètres!$A$1:$I$89,3,0)*0.475*44/12</f>
        <v>0.11736176944189339</v>
      </c>
      <c r="AB196" s="23">
        <f>EXP(-LN(2)/2)*AB195+(1-EXP(-LN(2)/2))/(LN(2)/2)*V196*Y196*VLOOKUP('Données projet'!$B$9,Paramètres!$A$1:$I$89,3,0)*0.475*44/12</f>
        <v>3.8287466964030378E-24</v>
      </c>
      <c r="AC196" s="24">
        <f t="shared" si="163"/>
        <v>0.33403180526785131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-3.1036506698001178E-14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164.0740581424559</v>
      </c>
      <c r="AO196" s="62">
        <f t="shared" si="144"/>
        <v>280.99861170359793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0.64964882207135366</v>
      </c>
      <c r="AV196" s="23">
        <f>EXP(-LN(2)/25)*AV195+(1-EXP(-LN(2)/25))/(LN(2)/25)*Calculateur!AQ196*Calculateur!AS196*VLOOKUP('Données projet'!$B$10,Paramètres!$A$1:$I$89,3,0)*0.475*44/12</f>
        <v>0.41427787859325987</v>
      </c>
      <c r="AW196" s="23">
        <f>EXP(-LN(2)/2)*AW195+(1-EXP(-LN(2)/2))/(LN(2)/2)*AQ196*AT196*VLOOKUP('Données projet'!$B$10,Paramètres!$A$1:$I$89,3,0)*0.475*44/12</f>
        <v>4.7777586801049331E-24</v>
      </c>
      <c r="AX196" s="23">
        <f t="shared" si="166"/>
        <v>1.0639267006646136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8.5265128291212022E-14</v>
      </c>
      <c r="BE196" s="14">
        <f>BD196*VLOOKUP('Données projet'!$B$11,Paramètres!$A$1:$I$89,3,0)*VLOOKUP('Données projet'!$B$11,Paramètres!$A$1:$I$89,5,0)</f>
        <v>3.990408004028723E-14</v>
      </c>
      <c r="BF196" s="14">
        <f t="shared" si="167"/>
        <v>6.6713074187844705E-13</v>
      </c>
      <c r="BG196" s="22">
        <f t="shared" si="168"/>
        <v>1.2314189815084623E-12</v>
      </c>
      <c r="BH196" s="62">
        <f t="shared" ref="BH196:BH203" si="194">BG196+(AY196+AZ196)*44/12</f>
        <v>293.33333333333456</v>
      </c>
      <c r="BI196" s="62">
        <f ca="1">AVERAGE(OFFSET($BH$3,0,0,'Données projet'!$E$11+1,1))-AVERAGE(OFFSET($H$3,0,0,'Données projet'!$E$11+1,1))</f>
        <v>90.829393941874685</v>
      </c>
      <c r="BJ196" s="62">
        <f t="shared" si="146"/>
        <v>113.5315547498717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0.11919708831764897</v>
      </c>
      <c r="BQ196" s="23">
        <f>EXP(-LN(2)/25)*BQ195+(1-EXP(-LN(2)/25))/(LN(2)/25)*Calculateur!BL196*Calculateur!BN196*VLOOKUP('Données projet'!$B$11,Paramètres!$A$1:$I$89,3,0)*0.475*44/12</f>
        <v>6.2179903483305529E-2</v>
      </c>
      <c r="BR196" s="23">
        <f>EXP(-LN(2)/2)*BR195+(1-EXP(-LN(2)/2))/(LN(2)/2)*BL196*BO196*VLOOKUP('Données projet'!$B$11,Paramètres!$A$1:$I$89,3,0)*0.475*44/12</f>
        <v>6.7683630939125752E-25</v>
      </c>
      <c r="BS196" s="24">
        <f t="shared" si="169"/>
        <v>0.18137699180095451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-1.4897523215040565E-13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211.95495599943246</v>
      </c>
      <c r="CE196" s="62">
        <f t="shared" si="148"/>
        <v>270.47407508916842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9.8800462564114677E-2</v>
      </c>
      <c r="CL196" s="23">
        <f>EXP(-LN(2)/25)*CL195+(1-EXP(-LN(2)/25))/(LN(2)/25)*Calculateur!CG196*Calculateur!CI196*VLOOKUP('Données projet'!$B$12,Paramètres!$A$1:$I$89,3,0)*0.475*44/12</f>
        <v>0.18658328706128213</v>
      </c>
      <c r="CM196" s="23">
        <f>EXP(-LN(2)/2)*CM195+(1-EXP(-LN(2)/2))/(LN(2)/2)*CG196*CJ196*VLOOKUP('Données projet'!$B$12,Paramètres!$A$1:$I$89,3,0)*0.475*44/12</f>
        <v>3.6929119827142499E-24</v>
      </c>
      <c r="CN196" s="24">
        <f t="shared" si="172"/>
        <v>0.28538374962539681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-2.5420376914553347E-13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446.5364328843699</v>
      </c>
      <c r="T197" s="62">
        <f t="shared" ref="T197:T203" si="204">$T$3</f>
        <v>559.96606361482179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0.21242126857908344</v>
      </c>
      <c r="AA197" s="23">
        <f>EXP(-LN(2)/25)*AA196+(1-EXP(-LN(2)/25))/(LN(2)/25)*Calculateur!V197*Calculateur!X197*VLOOKUP('Données projet'!$B$9,Paramètres!$A$1:$I$89,3,0)*0.475*44/12</f>
        <v>0.11415250568471759</v>
      </c>
      <c r="AB197" s="23">
        <f>EXP(-LN(2)/2)*AB196+(1-EXP(-LN(2)/2))/(LN(2)/2)*V197*Y197*VLOOKUP('Données projet'!$B$9,Paramètres!$A$1:$I$89,3,0)*0.475*44/12</f>
        <v>2.7073327524721796E-24</v>
      </c>
      <c r="AC197" s="24">
        <f t="shared" si="163"/>
        <v>0.32657377426380102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-3.1036506698001178E-14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164.0740581424559</v>
      </c>
      <c r="AO197" s="62">
        <f t="shared" ref="AO197:AO203" si="205">$AO$3</f>
        <v>280.99861170359793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0.63690960491718973</v>
      </c>
      <c r="AV197" s="23">
        <f>EXP(-LN(2)/25)*AV196+(1-EXP(-LN(2)/25))/(LN(2)/25)*Calculateur!AQ197*Calculateur!AS197*VLOOKUP('Données projet'!$B$10,Paramètres!$A$1:$I$89,3,0)*0.475*44/12</f>
        <v>0.40294942821720037</v>
      </c>
      <c r="AW197" s="23">
        <f>EXP(-LN(2)/2)*AW196+(1-EXP(-LN(2)/2))/(LN(2)/2)*AQ197*AT197*VLOOKUP('Données projet'!$B$10,Paramètres!$A$1:$I$89,3,0)*0.475*44/12</f>
        <v>3.378385561575087E-24</v>
      </c>
      <c r="AX197" s="23">
        <f t="shared" si="166"/>
        <v>1.0398590331343902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8.5265128291212022E-14</v>
      </c>
      <c r="BE197" s="14">
        <f>BD197*VLOOKUP('Données projet'!$B$11,Paramètres!$A$1:$I$89,3,0)*VLOOKUP('Données projet'!$B$11,Paramètres!$A$1:$I$89,5,0)</f>
        <v>3.990408004028723E-14</v>
      </c>
      <c r="BF197" s="14">
        <f t="shared" si="167"/>
        <v>6.6713074187844705E-13</v>
      </c>
      <c r="BG197" s="22">
        <f t="shared" si="168"/>
        <v>1.2314189815084623E-12</v>
      </c>
      <c r="BH197" s="62">
        <f t="shared" si="194"/>
        <v>293.33333333333456</v>
      </c>
      <c r="BI197" s="62">
        <f ca="1">AVERAGE(OFFSET($BH$3,0,0,'Données projet'!$E$11+1,1))-AVERAGE(OFFSET($H$3,0,0,'Données projet'!$E$11+1,1))</f>
        <v>90.829393941874685</v>
      </c>
      <c r="BJ197" s="62">
        <f t="shared" ref="BJ197:BJ203" si="206">$BJ$3</f>
        <v>113.5315547498717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0.11685970611878492</v>
      </c>
      <c r="BQ197" s="23">
        <f>EXP(-LN(2)/25)*BQ196+(1-EXP(-LN(2)/25))/(LN(2)/25)*Calculateur!BL197*Calculateur!BN197*VLOOKUP('Données projet'!$B$11,Paramètres!$A$1:$I$89,3,0)*0.475*44/12</f>
        <v>6.0479590752655528E-2</v>
      </c>
      <c r="BR197" s="23">
        <f>EXP(-LN(2)/2)*BR196+(1-EXP(-LN(2)/2))/(LN(2)/2)*BL197*BO197*VLOOKUP('Données projet'!$B$11,Paramètres!$A$1:$I$89,3,0)*0.475*44/12</f>
        <v>4.7859554412383431E-25</v>
      </c>
      <c r="BS197" s="24">
        <f t="shared" si="169"/>
        <v>0.17733929687144045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-1.4897523215040565E-13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211.95495599943246</v>
      </c>
      <c r="CE197" s="62">
        <f t="shared" ref="CE197:CE203" si="207">$CE$3</f>
        <v>270.47407508916842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9.6863045755564148E-2</v>
      </c>
      <c r="CL197" s="23">
        <f>EXP(-LN(2)/25)*CL196+(1-EXP(-LN(2)/25))/(LN(2)/25)*Calculateur!CG197*Calculateur!CI197*VLOOKUP('Données projet'!$B$12,Paramètres!$A$1:$I$89,3,0)*0.475*44/12</f>
        <v>0.18148115726460276</v>
      </c>
      <c r="CM197" s="23">
        <f>EXP(-LN(2)/2)*CM196+(1-EXP(-LN(2)/2))/(LN(2)/2)*CG197*CJ197*VLOOKUP('Données projet'!$B$12,Paramètres!$A$1:$I$89,3,0)*0.475*44/12</f>
        <v>2.6112831053023045E-24</v>
      </c>
      <c r="CN197" s="24">
        <f t="shared" si="172"/>
        <v>0.27834420302016694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-2.5420376914553347E-13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446.5364328843699</v>
      </c>
      <c r="T198" s="62">
        <f t="shared" si="204"/>
        <v>559.96606361482179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0.20825581706642804</v>
      </c>
      <c r="AA198" s="23">
        <f>EXP(-LN(2)/25)*AA197+(1-EXP(-LN(2)/25))/(LN(2)/25)*Calculateur!V198*Calculateur!X198*VLOOKUP('Données projet'!$B$9,Paramètres!$A$1:$I$89,3,0)*0.475*44/12</f>
        <v>0.11103099941374961</v>
      </c>
      <c r="AB198" s="23">
        <f>EXP(-LN(2)/2)*AB197+(1-EXP(-LN(2)/2))/(LN(2)/2)*V198*Y198*VLOOKUP('Données projet'!$B$9,Paramètres!$A$1:$I$89,3,0)*0.475*44/12</f>
        <v>1.9143733482015189E-24</v>
      </c>
      <c r="AC198" s="24">
        <f t="shared" si="163"/>
        <v>0.31928681648017765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-3.1036506698001178E-14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164.0740581424559</v>
      </c>
      <c r="AO198" s="62">
        <f t="shared" si="205"/>
        <v>280.99861170359793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0.62442019604126375</v>
      </c>
      <c r="AV198" s="23">
        <f>EXP(-LN(2)/25)*AV197+(1-EXP(-LN(2)/25))/(LN(2)/25)*Calculateur!AQ198*Calculateur!AS198*VLOOKUP('Données projet'!$B$10,Paramètres!$A$1:$I$89,3,0)*0.475*44/12</f>
        <v>0.39193075491241153</v>
      </c>
      <c r="AW198" s="23">
        <f>EXP(-LN(2)/2)*AW197+(1-EXP(-LN(2)/2))/(LN(2)/2)*AQ198*AT198*VLOOKUP('Données projet'!$B$10,Paramètres!$A$1:$I$89,3,0)*0.475*44/12</f>
        <v>2.3888793400524665E-24</v>
      </c>
      <c r="AX198" s="23">
        <f t="shared" si="166"/>
        <v>1.0163509509536752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8.5265128291212022E-14</v>
      </c>
      <c r="BE198" s="14">
        <f>BD198*VLOOKUP('Données projet'!$B$11,Paramètres!$A$1:$I$89,3,0)*VLOOKUP('Données projet'!$B$11,Paramètres!$A$1:$I$89,5,0)</f>
        <v>3.990408004028723E-14</v>
      </c>
      <c r="BF198" s="14">
        <f t="shared" si="167"/>
        <v>6.6713074187844705E-13</v>
      </c>
      <c r="BG198" s="22">
        <f t="shared" si="168"/>
        <v>1.2314189815084623E-12</v>
      </c>
      <c r="BH198" s="62">
        <f t="shared" si="194"/>
        <v>293.33333333333456</v>
      </c>
      <c r="BI198" s="62">
        <f ca="1">AVERAGE(OFFSET($BH$3,0,0,'Données projet'!$E$11+1,1))-AVERAGE(OFFSET($H$3,0,0,'Données projet'!$E$11+1,1))</f>
        <v>90.829393941874685</v>
      </c>
      <c r="BJ198" s="62">
        <f t="shared" si="206"/>
        <v>113.5315547498717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0.11456815855917822</v>
      </c>
      <c r="BQ198" s="23">
        <f>EXP(-LN(2)/25)*BQ197+(1-EXP(-LN(2)/25))/(LN(2)/25)*Calculateur!BL198*Calculateur!BN198*VLOOKUP('Données projet'!$B$11,Paramètres!$A$1:$I$89,3,0)*0.475*44/12</f>
        <v>5.8825773163040711E-2</v>
      </c>
      <c r="BR198" s="23">
        <f>EXP(-LN(2)/2)*BR197+(1-EXP(-LN(2)/2))/(LN(2)/2)*BL198*BO198*VLOOKUP('Données projet'!$B$11,Paramètres!$A$1:$I$89,3,0)*0.475*44/12</f>
        <v>3.3841815469562876E-25</v>
      </c>
      <c r="BS198" s="24">
        <f t="shared" si="169"/>
        <v>0.17339393172221892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-1.4897523215040565E-13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211.95495599943246</v>
      </c>
      <c r="CE198" s="62">
        <f t="shared" si="207"/>
        <v>270.47407508916842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9.4963620508921723E-2</v>
      </c>
      <c r="CL198" s="23">
        <f>EXP(-LN(2)/25)*CL197+(1-EXP(-LN(2)/25))/(LN(2)/25)*Calculateur!CG198*Calculateur!CI198*VLOOKUP('Données projet'!$B$12,Paramètres!$A$1:$I$89,3,0)*0.475*44/12</f>
        <v>0.17651854547552293</v>
      </c>
      <c r="CM198" s="23">
        <f>EXP(-LN(2)/2)*CM197+(1-EXP(-LN(2)/2))/(LN(2)/2)*CG198*CJ198*VLOOKUP('Données projet'!$B$12,Paramètres!$A$1:$I$89,3,0)*0.475*44/12</f>
        <v>1.846455991357125E-24</v>
      </c>
      <c r="CN198" s="24">
        <f t="shared" si="172"/>
        <v>0.27148216598444463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-2.5420376914553347E-13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446.5364328843699</v>
      </c>
      <c r="T199" s="62">
        <f t="shared" si="204"/>
        <v>559.96606361482179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0.20417204751726126</v>
      </c>
      <c r="AA199" s="23">
        <f>EXP(-LN(2)/25)*AA198+(1-EXP(-LN(2)/25))/(LN(2)/25)*Calculateur!V199*Calculateur!X199*VLOOKUP('Données projet'!$B$9,Paramètres!$A$1:$I$89,3,0)*0.475*44/12</f>
        <v>0.10799485089591414</v>
      </c>
      <c r="AB199" s="23">
        <f>EXP(-LN(2)/2)*AB198+(1-EXP(-LN(2)/2))/(LN(2)/2)*V199*Y199*VLOOKUP('Données projet'!$B$9,Paramètres!$A$1:$I$89,3,0)*0.475*44/12</f>
        <v>1.3536663762360898E-24</v>
      </c>
      <c r="AC199" s="24">
        <f t="shared" si="163"/>
        <v>0.31216689841317541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-3.1036506698001178E-14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164.0740581424559</v>
      </c>
      <c r="AO199" s="62">
        <f t="shared" si="205"/>
        <v>280.99861170359793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0.61217569685560747</v>
      </c>
      <c r="AV199" s="23">
        <f>EXP(-LN(2)/25)*AV198+(1-EXP(-LN(2)/25))/(LN(2)/25)*Calculateur!AQ199*Calculateur!AS199*VLOOKUP('Données projet'!$B$10,Paramètres!$A$1:$I$89,3,0)*0.475*44/12</f>
        <v>0.38121338780858899</v>
      </c>
      <c r="AW199" s="23">
        <f>EXP(-LN(2)/2)*AW198+(1-EXP(-LN(2)/2))/(LN(2)/2)*AQ199*AT199*VLOOKUP('Données projet'!$B$10,Paramètres!$A$1:$I$89,3,0)*0.475*44/12</f>
        <v>1.6891927807875435E-24</v>
      </c>
      <c r="AX199" s="23">
        <f t="shared" si="166"/>
        <v>0.9933890846641964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8.5265128291212022E-14</v>
      </c>
      <c r="BE199" s="14">
        <f>BD199*VLOOKUP('Données projet'!$B$11,Paramètres!$A$1:$I$89,3,0)*VLOOKUP('Données projet'!$B$11,Paramètres!$A$1:$I$89,5,0)</f>
        <v>3.990408004028723E-14</v>
      </c>
      <c r="BF199" s="14">
        <f t="shared" si="167"/>
        <v>6.6713074187844705E-13</v>
      </c>
      <c r="BG199" s="22">
        <f t="shared" si="168"/>
        <v>1.2314189815084623E-12</v>
      </c>
      <c r="BH199" s="62">
        <f t="shared" si="194"/>
        <v>293.33333333333456</v>
      </c>
      <c r="BI199" s="62">
        <f ca="1">AVERAGE(OFFSET($BH$3,0,0,'Données projet'!$E$11+1,1))-AVERAGE(OFFSET($H$3,0,0,'Données projet'!$E$11+1,1))</f>
        <v>90.829393941874685</v>
      </c>
      <c r="BJ199" s="62">
        <f t="shared" si="206"/>
        <v>113.5315547498717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0.11232154684950942</v>
      </c>
      <c r="BQ199" s="23">
        <f>EXP(-LN(2)/25)*BQ198+(1-EXP(-LN(2)/25))/(LN(2)/25)*Calculateur!BL199*Calculateur!BN199*VLOOKUP('Données projet'!$B$11,Paramètres!$A$1:$I$89,3,0)*0.475*44/12</f>
        <v>5.7217179302384402E-2</v>
      </c>
      <c r="BR199" s="23">
        <f>EXP(-LN(2)/2)*BR198+(1-EXP(-LN(2)/2))/(LN(2)/2)*BL199*BO199*VLOOKUP('Données projet'!$B$11,Paramètres!$A$1:$I$89,3,0)*0.475*44/12</f>
        <v>2.3929777206191716E-25</v>
      </c>
      <c r="BS199" s="24">
        <f t="shared" si="169"/>
        <v>0.1695387261518938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-1.4897523215040565E-13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211.95495599943246</v>
      </c>
      <c r="CE199" s="62">
        <f t="shared" si="207"/>
        <v>270.47407508916842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9.310144183283095E-2</v>
      </c>
      <c r="CL199" s="23">
        <f>EXP(-LN(2)/25)*CL198+(1-EXP(-LN(2)/25))/(LN(2)/25)*Calculateur!CG199*Calculateur!CI199*VLOOKUP('Données projet'!$B$12,Paramètres!$A$1:$I$89,3,0)*0.475*44/12</f>
        <v>0.17169163656678788</v>
      </c>
      <c r="CM199" s="23">
        <f>EXP(-LN(2)/2)*CM198+(1-EXP(-LN(2)/2))/(LN(2)/2)*CG199*CJ199*VLOOKUP('Données projet'!$B$12,Paramètres!$A$1:$I$89,3,0)*0.475*44/12</f>
        <v>1.3056415526511523E-24</v>
      </c>
      <c r="CN199" s="24">
        <f t="shared" si="172"/>
        <v>0.26479307839961885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-2.5420376914553347E-13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446.5364328843699</v>
      </c>
      <c r="T200" s="62">
        <f t="shared" si="204"/>
        <v>559.96606361482179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0.20016835819810017</v>
      </c>
      <c r="AA200" s="23">
        <f>EXP(-LN(2)/25)*AA199+(1-EXP(-LN(2)/25))/(LN(2)/25)*Calculateur!V200*Calculateur!X200*VLOOKUP('Données projet'!$B$9,Paramètres!$A$1:$I$89,3,0)*0.475*44/12</f>
        <v>0.10504172601896299</v>
      </c>
      <c r="AB200" s="23">
        <f>EXP(-LN(2)/2)*AB199+(1-EXP(-LN(2)/2))/(LN(2)/2)*V200*Y200*VLOOKUP('Données projet'!$B$9,Paramètres!$A$1:$I$89,3,0)*0.475*44/12</f>
        <v>9.5718667410075946E-25</v>
      </c>
      <c r="AC200" s="24">
        <f t="shared" si="163"/>
        <v>0.30521008421706314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-3.1036506698001178E-14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164.0740581424559</v>
      </c>
      <c r="AO200" s="62">
        <f t="shared" si="205"/>
        <v>280.99861170359793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0.6001713048305749</v>
      </c>
      <c r="AV200" s="23">
        <f>EXP(-LN(2)/25)*AV199+(1-EXP(-LN(2)/25))/(LN(2)/25)*Calculateur!AQ200*Calculateur!AS200*VLOOKUP('Données projet'!$B$10,Paramètres!$A$1:$I$89,3,0)*0.475*44/12</f>
        <v>0.37078908767182234</v>
      </c>
      <c r="AW200" s="23">
        <f>EXP(-LN(2)/2)*AW199+(1-EXP(-LN(2)/2))/(LN(2)/2)*AQ200*AT200*VLOOKUP('Données projet'!$B$10,Paramètres!$A$1:$I$89,3,0)*0.475*44/12</f>
        <v>1.1944396700262333E-24</v>
      </c>
      <c r="AX200" s="23">
        <f t="shared" si="166"/>
        <v>0.9709603925023973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8.5265128291212022E-14</v>
      </c>
      <c r="BE200" s="14">
        <f>BD200*VLOOKUP('Données projet'!$B$11,Paramètres!$A$1:$I$89,3,0)*VLOOKUP('Données projet'!$B$11,Paramètres!$A$1:$I$89,5,0)</f>
        <v>3.990408004028723E-14</v>
      </c>
      <c r="BF200" s="14">
        <f t="shared" si="167"/>
        <v>6.6713074187844705E-13</v>
      </c>
      <c r="BG200" s="22">
        <f t="shared" si="168"/>
        <v>1.2314189815084623E-12</v>
      </c>
      <c r="BH200" s="62">
        <f t="shared" si="194"/>
        <v>293.33333333333456</v>
      </c>
      <c r="BI200" s="62">
        <f ca="1">AVERAGE(OFFSET($BH$3,0,0,'Données projet'!$E$11+1,1))-AVERAGE(OFFSET($H$3,0,0,'Données projet'!$E$11+1,1))</f>
        <v>90.829393941874685</v>
      </c>
      <c r="BJ200" s="62">
        <f t="shared" si="206"/>
        <v>113.5315547498717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0.11011898982516938</v>
      </c>
      <c r="BQ200" s="23">
        <f>EXP(-LN(2)/25)*BQ199+(1-EXP(-LN(2)/25))/(LN(2)/25)*Calculateur!BL200*Calculateur!BN200*VLOOKUP('Données projet'!$B$11,Paramètres!$A$1:$I$89,3,0)*0.475*44/12</f>
        <v>5.5652572525440015E-2</v>
      </c>
      <c r="BR200" s="23">
        <f>EXP(-LN(2)/2)*BR199+(1-EXP(-LN(2)/2))/(LN(2)/2)*BL200*BO200*VLOOKUP('Données projet'!$B$11,Paramètres!$A$1:$I$89,3,0)*0.475*44/12</f>
        <v>1.6920907734781438E-25</v>
      </c>
      <c r="BS200" s="24">
        <f t="shared" si="169"/>
        <v>0.16577156235060939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-1.4897523215040565E-13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211.95495599943246</v>
      </c>
      <c r="CE200" s="62">
        <f t="shared" si="207"/>
        <v>270.47407508916842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9.1275779344761471E-2</v>
      </c>
      <c r="CL200" s="23">
        <f>EXP(-LN(2)/25)*CL199+(1-EXP(-LN(2)/25))/(LN(2)/25)*Calculateur!CG200*Calculateur!CI200*VLOOKUP('Données projet'!$B$12,Paramètres!$A$1:$I$89,3,0)*0.475*44/12</f>
        <v>0.16699671973599831</v>
      </c>
      <c r="CM200" s="23">
        <f>EXP(-LN(2)/2)*CM199+(1-EXP(-LN(2)/2))/(LN(2)/2)*CG200*CJ200*VLOOKUP('Données projet'!$B$12,Paramètres!$A$1:$I$89,3,0)*0.475*44/12</f>
        <v>9.2322799567856248E-25</v>
      </c>
      <c r="CN200" s="24">
        <f t="shared" si="172"/>
        <v>0.25827249908075978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-2.5420376914553347E-13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446.5364328843699</v>
      </c>
      <c r="T201" s="62">
        <f t="shared" si="204"/>
        <v>559.96606361482179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0.19624317878447847</v>
      </c>
      <c r="AA201" s="23">
        <f>EXP(-LN(2)/25)*AA200+(1-EXP(-LN(2)/25))/(LN(2)/25)*Calculateur!V201*Calculateur!X201*VLOOKUP('Données projet'!$B$9,Paramètres!$A$1:$I$89,3,0)*0.475*44/12</f>
        <v>0.10216935449707015</v>
      </c>
      <c r="AB201" s="23">
        <f>EXP(-LN(2)/2)*AB200+(1-EXP(-LN(2)/2))/(LN(2)/2)*V201*Y201*VLOOKUP('Données projet'!$B$9,Paramètres!$A$1:$I$89,3,0)*0.475*44/12</f>
        <v>6.7683318811804491E-25</v>
      </c>
      <c r="AC201" s="24">
        <f t="shared" si="163"/>
        <v>0.2984125332815486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-3.1036506698001178E-14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164.0740581424559</v>
      </c>
      <c r="AO201" s="62">
        <f t="shared" si="205"/>
        <v>280.99861170359793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0.58840231161119705</v>
      </c>
      <c r="AV201" s="23">
        <f>EXP(-LN(2)/25)*AV200+(1-EXP(-LN(2)/25))/(LN(2)/25)*Calculateur!AQ201*Calculateur!AS201*VLOOKUP('Données projet'!$B$10,Paramètres!$A$1:$I$89,3,0)*0.475*44/12</f>
        <v>0.36064984057048566</v>
      </c>
      <c r="AW201" s="23">
        <f>EXP(-LN(2)/2)*AW200+(1-EXP(-LN(2)/2))/(LN(2)/2)*AQ201*AT201*VLOOKUP('Données projet'!$B$10,Paramètres!$A$1:$I$89,3,0)*0.475*44/12</f>
        <v>8.4459639039377175E-25</v>
      </c>
      <c r="AX201" s="23">
        <f t="shared" si="166"/>
        <v>0.94905215218168271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8.5265128291212022E-14</v>
      </c>
      <c r="BE201" s="14">
        <f>BD201*VLOOKUP('Données projet'!$B$11,Paramètres!$A$1:$I$89,3,0)*VLOOKUP('Données projet'!$B$11,Paramètres!$A$1:$I$89,5,0)</f>
        <v>3.990408004028723E-14</v>
      </c>
      <c r="BF201" s="14">
        <f t="shared" si="167"/>
        <v>6.6713074187844705E-13</v>
      </c>
      <c r="BG201" s="22">
        <f t="shared" si="168"/>
        <v>1.2314189815084623E-12</v>
      </c>
      <c r="BH201" s="62">
        <f t="shared" si="194"/>
        <v>293.33333333333456</v>
      </c>
      <c r="BI201" s="62">
        <f ca="1">AVERAGE(OFFSET($BH$3,0,0,'Données projet'!$E$11+1,1))-AVERAGE(OFFSET($H$3,0,0,'Données projet'!$E$11+1,1))</f>
        <v>90.829393941874685</v>
      </c>
      <c r="BJ201" s="62">
        <f t="shared" si="206"/>
        <v>113.5315547498717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0.10795962360064951</v>
      </c>
      <c r="BQ201" s="23">
        <f>EXP(-LN(2)/25)*BQ200+(1-EXP(-LN(2)/25))/(LN(2)/25)*Calculateur!BL201*Calculateur!BN201*VLOOKUP('Données projet'!$B$11,Paramètres!$A$1:$I$89,3,0)*0.475*44/12</f>
        <v>5.4130750003090262E-2</v>
      </c>
      <c r="BR201" s="23">
        <f>EXP(-LN(2)/2)*BR200+(1-EXP(-LN(2)/2))/(LN(2)/2)*BL201*BO201*VLOOKUP('Données projet'!$B$11,Paramètres!$A$1:$I$89,3,0)*0.475*44/12</f>
        <v>1.1964888603095858E-25</v>
      </c>
      <c r="BS201" s="24">
        <f t="shared" si="169"/>
        <v>0.16209037360373976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-1.4897523215040565E-13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211.95495599943246</v>
      </c>
      <c r="CE201" s="62">
        <f t="shared" si="207"/>
        <v>270.47407508916842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8.948591698453888E-2</v>
      </c>
      <c r="CL201" s="23">
        <f>EXP(-LN(2)/25)*CL200+(1-EXP(-LN(2)/25))/(LN(2)/25)*Calculateur!CG201*Calculateur!CI201*VLOOKUP('Données projet'!$B$12,Paramètres!$A$1:$I$89,3,0)*0.475*44/12</f>
        <v>0.16243018565284162</v>
      </c>
      <c r="CM201" s="23">
        <f>EXP(-LN(2)/2)*CM200+(1-EXP(-LN(2)/2))/(LN(2)/2)*CG201*CJ201*VLOOKUP('Données projet'!$B$12,Paramètres!$A$1:$I$89,3,0)*0.475*44/12</f>
        <v>6.5282077632557613E-25</v>
      </c>
      <c r="CN201" s="24">
        <f t="shared" si="172"/>
        <v>0.25191610263738051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-2.5420376914553347E-13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446.5364328843699</v>
      </c>
      <c r="T202" s="62">
        <f t="shared" si="204"/>
        <v>559.96606361482179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0.19239496974503487</v>
      </c>
      <c r="AA202" s="23">
        <f>EXP(-LN(2)/25)*AA201+(1-EXP(-LN(2)/25))/(LN(2)/25)*Calculateur!V202*Calculateur!X202*VLOOKUP('Données projet'!$B$9,Paramètres!$A$1:$I$89,3,0)*0.475*44/12</f>
        <v>9.9375528125494925E-2</v>
      </c>
      <c r="AB202" s="23">
        <f>EXP(-LN(2)/2)*AB201+(1-EXP(-LN(2)/2))/(LN(2)/2)*V202*Y202*VLOOKUP('Données projet'!$B$9,Paramètres!$A$1:$I$89,3,0)*0.475*44/12</f>
        <v>4.7859333705037973E-25</v>
      </c>
      <c r="AC202" s="24">
        <f t="shared" si="163"/>
        <v>0.29177049787052978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-3.1036506698001178E-14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164.0740581424559</v>
      </c>
      <c r="AO202" s="62">
        <f t="shared" si="205"/>
        <v>280.99861170359793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0.57686410117047415</v>
      </c>
      <c r="AV202" s="23">
        <f>EXP(-LN(2)/25)*AV201+(1-EXP(-LN(2)/25))/(LN(2)/25)*Calculateur!AQ202*Calculateur!AS202*VLOOKUP('Données projet'!$B$10,Paramètres!$A$1:$I$89,3,0)*0.475*44/12</f>
        <v>0.35078785171433491</v>
      </c>
      <c r="AW202" s="23">
        <f>EXP(-LN(2)/2)*AW201+(1-EXP(-LN(2)/2))/(LN(2)/2)*AQ202*AT202*VLOOKUP('Données projet'!$B$10,Paramètres!$A$1:$I$89,3,0)*0.475*44/12</f>
        <v>5.9721983501311664E-25</v>
      </c>
      <c r="AX202" s="23">
        <f t="shared" si="166"/>
        <v>0.92765195288480906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8.5265128291212022E-14</v>
      </c>
      <c r="BE202" s="14">
        <f>BD202*VLOOKUP('Données projet'!$B$11,Paramètres!$A$1:$I$89,3,0)*VLOOKUP('Données projet'!$B$11,Paramètres!$A$1:$I$89,5,0)</f>
        <v>3.990408004028723E-14</v>
      </c>
      <c r="BF202" s="14">
        <f t="shared" si="167"/>
        <v>6.6713074187844705E-13</v>
      </c>
      <c r="BG202" s="22">
        <f t="shared" si="168"/>
        <v>1.2314189815084623E-12</v>
      </c>
      <c r="BH202" s="62">
        <f t="shared" si="194"/>
        <v>293.33333333333456</v>
      </c>
      <c r="BI202" s="62">
        <f ca="1">AVERAGE(OFFSET($BH$3,0,0,'Données projet'!$E$11+1,1))-AVERAGE(OFFSET($H$3,0,0,'Données projet'!$E$11+1,1))</f>
        <v>90.829393941874685</v>
      </c>
      <c r="BJ202" s="62">
        <f t="shared" si="206"/>
        <v>113.5315547498717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0.10584260123070913</v>
      </c>
      <c r="BQ202" s="23">
        <f>EXP(-LN(2)/25)*BQ201+(1-EXP(-LN(2)/25))/(LN(2)/25)*Calculateur!BL202*Calculateur!BN202*VLOOKUP('Données projet'!$B$11,Paramètres!$A$1:$I$89,3,0)*0.475*44/12</f>
        <v>5.2650541797643335E-2</v>
      </c>
      <c r="BR202" s="23">
        <f>EXP(-LN(2)/2)*BR201+(1-EXP(-LN(2)/2))/(LN(2)/2)*BL202*BO202*VLOOKUP('Données projet'!$B$11,Paramètres!$A$1:$I$89,3,0)*0.475*44/12</f>
        <v>8.460453867390719E-26</v>
      </c>
      <c r="BS202" s="24">
        <f t="shared" si="169"/>
        <v>0.15849314302835246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-1.4897523215040565E-13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211.95495599943246</v>
      </c>
      <c r="CE202" s="62">
        <f t="shared" si="207"/>
        <v>270.47407508916842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8.773115273349201E-2</v>
      </c>
      <c r="CL202" s="23">
        <f>EXP(-LN(2)/25)*CL201+(1-EXP(-LN(2)/25))/(LN(2)/25)*Calculateur!CG202*Calculateur!CI202*VLOOKUP('Données projet'!$B$12,Paramètres!$A$1:$I$89,3,0)*0.475*44/12</f>
        <v>0.15798852368433244</v>
      </c>
      <c r="CM202" s="23">
        <f>EXP(-LN(2)/2)*CM201+(1-EXP(-LN(2)/2))/(LN(2)/2)*CG202*CJ202*VLOOKUP('Données projet'!$B$12,Paramètres!$A$1:$I$89,3,0)*0.475*44/12</f>
        <v>4.6161399783928124E-25</v>
      </c>
      <c r="CN202" s="24">
        <f t="shared" si="172"/>
        <v>0.24571967641782444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-2.5420376914553347E-13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446.5364328843699</v>
      </c>
      <c r="T203" s="62">
        <f t="shared" si="204"/>
        <v>559.96606361482179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0.18862222173767898</v>
      </c>
      <c r="AA203" s="23">
        <f>EXP(-LN(2)/25)*AA202+(1-EXP(-LN(2)/25))/(LN(2)/25)*Calculateur!V203*Calculateur!X203*VLOOKUP('Données projet'!$B$9,Paramètres!$A$1:$I$89,3,0)*0.475*44/12</f>
        <v>9.6658099082971363E-2</v>
      </c>
      <c r="AB203" s="23">
        <f>EXP(-LN(2)/2)*AB202+(1-EXP(-LN(2)/2))/(LN(2)/2)*V203*Y203*VLOOKUP('Données projet'!$B$9,Paramètres!$A$1:$I$89,3,0)*0.475*44/12</f>
        <v>3.3841659405902245E-25</v>
      </c>
      <c r="AC203" s="24">
        <f t="shared" si="163"/>
        <v>0.28528032082065036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-3.1036506698001178E-14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164.0740581424559</v>
      </c>
      <c r="AO203" s="62">
        <f t="shared" si="205"/>
        <v>280.99861170359793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0.56555214799888032</v>
      </c>
      <c r="AV203" s="23">
        <f>EXP(-LN(2)/25)*AV202+(1-EXP(-LN(2)/25))/(LN(2)/25)*Calculateur!AQ203*Calculateur!AS203*VLOOKUP('Données projet'!$B$10,Paramètres!$A$1:$I$89,3,0)*0.475*44/12</f>
        <v>0.34119553946207504</v>
      </c>
      <c r="AW203" s="23">
        <f>EXP(-LN(2)/2)*AW202+(1-EXP(-LN(2)/2))/(LN(2)/2)*AQ203*AT203*VLOOKUP('Données projet'!$B$10,Paramètres!$A$1:$I$89,3,0)*0.475*44/12</f>
        <v>4.2229819519688588E-25</v>
      </c>
      <c r="AX203" s="23">
        <f t="shared" si="166"/>
        <v>0.90674768746095535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8.5265128291212022E-14</v>
      </c>
      <c r="BE203" s="14">
        <f>BD203*VLOOKUP('Données projet'!$B$11,Paramètres!$A$1:$I$89,3,0)*VLOOKUP('Données projet'!$B$11,Paramètres!$A$1:$I$89,5,0)</f>
        <v>3.990408004028723E-14</v>
      </c>
      <c r="BF203" s="14">
        <f t="shared" si="167"/>
        <v>6.6713074187844705E-13</v>
      </c>
      <c r="BG203" s="22">
        <f t="shared" si="168"/>
        <v>1.2314189815084623E-12</v>
      </c>
      <c r="BH203" s="62">
        <f t="shared" si="194"/>
        <v>293.33333333333456</v>
      </c>
      <c r="BI203" s="62">
        <f ca="1">AVERAGE(OFFSET($BH$3,0,0,'Données projet'!$E$11+1,1))-AVERAGE(OFFSET($H$3,0,0,'Données projet'!$E$11+1,1))</f>
        <v>90.829393941874685</v>
      </c>
      <c r="BJ203" s="62">
        <f t="shared" si="206"/>
        <v>113.5315547498717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0.10376709237818714</v>
      </c>
      <c r="BQ203" s="23">
        <f>EXP(-LN(2)/25)*BQ202+(1-EXP(-LN(2)/25))/(LN(2)/25)*Calculateur!BL203*Calculateur!BN203*VLOOKUP('Données projet'!$B$11,Paramètres!$A$1:$I$89,3,0)*0.475*44/12</f>
        <v>5.1210809963415121E-2</v>
      </c>
      <c r="BR203" s="23">
        <f>EXP(-LN(2)/2)*BR202+(1-EXP(-LN(2)/2))/(LN(2)/2)*BL203*BO203*VLOOKUP('Données projet'!$B$11,Paramètres!$A$1:$I$89,3,0)*0.475*44/12</f>
        <v>5.9824443015479289E-26</v>
      </c>
      <c r="BS203" s="24">
        <f t="shared" si="169"/>
        <v>0.15497790234160225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-1.4897523215040565E-13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211.95495599943246</v>
      </c>
      <c r="CE203" s="62">
        <f t="shared" si="207"/>
        <v>270.47407508916842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8.6010798339107658E-2</v>
      </c>
      <c r="CL203" s="23">
        <f>EXP(-LN(2)/25)*CL202+(1-EXP(-LN(2)/25))/(LN(2)/25)*Calculateur!CG203*Calculateur!CI203*VLOOKUP('Données projet'!$B$12,Paramètres!$A$1:$I$89,3,0)*0.475*44/12</f>
        <v>0.15366831919592899</v>
      </c>
      <c r="CM203" s="23">
        <f>EXP(-LN(2)/2)*CM202+(1-EXP(-LN(2)/2))/(LN(2)/2)*CG203*CJ203*VLOOKUP('Données projet'!$B$12,Paramètres!$A$1:$I$89,3,0)*0.475*44/12</f>
        <v>3.2641038816278806E-25</v>
      </c>
      <c r="CN203" s="24">
        <f t="shared" si="172"/>
        <v>0.23967911753503665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1.3804627841663464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1.4860662319460807</v>
      </c>
      <c r="BA205" s="88">
        <f>EXP(LN('Données projet'!B88)/'Données projet'!A88)</f>
        <v>1.2943669275923884</v>
      </c>
      <c r="BV205" s="88">
        <f>EXP(LN('Données projet'!B114)/'Données projet'!A114)</f>
        <v>1.3423796509621049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54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0.65</v>
      </c>
      <c r="C6" s="156">
        <f ca="1">IF(OR('Données projet'!B9="",'Données projet'!C9="",'Données projet'!C9=0%),0,Calculateur!S3)</f>
        <v>446.5364328843699</v>
      </c>
      <c r="D6" s="156">
        <f>IF(OR('Données projet'!B9="",'Données projet'!C9="",'Données projet'!C9=0%),0,Calculateur!T3)</f>
        <v>559.96606361482179</v>
      </c>
      <c r="E6" s="156">
        <f ca="1">MIN(C6,D6)</f>
        <v>446.5364328843699</v>
      </c>
      <c r="F6" s="156">
        <f ca="1">E6*B6</f>
        <v>290.24868137484043</v>
      </c>
      <c r="G6" s="156">
        <f ca="1">F6*(100%-'Données projet'!$C$24)*(100%-'Données projet'!$C$25)*(100%-'Données projet'!$C$26)*(100%-'Données projet'!$C$27)</f>
        <v>261.22381323735641</v>
      </c>
      <c r="H6" s="157">
        <f>IF(OR('Données projet'!B9="",'Données projet'!C9="",'Données projet'!C9=0%),0,AVERAGE(Calculateur!$AC$3:$AC$33)*B6)</f>
        <v>1.4396907983947287</v>
      </c>
      <c r="I6" s="158">
        <f>H6*(100%-'Données projet'!$C$24)*(100%-'Données projet'!$C$25)*(100%-'Données projet'!$C$26)*(100%-'Données projet'!$C$27)</f>
        <v>1.2957217185552559</v>
      </c>
      <c r="J6" s="159">
        <f>IF(OR('Données projet'!B9="",'Données projet'!C9="",'Données projet'!C9=0%),0,SUM(Calculateur!$V$3:$V$33)*VLOOKUP('Données projet'!$B$9,Paramètres!$A$1:$I$89,9,0)*B6)</f>
        <v>19.285499999999999</v>
      </c>
      <c r="K6" s="160">
        <f>J6*(100%-'Données projet'!$C$24)*(100%-'Données projet'!$C$25)*(100%-'Données projet'!$C$26)*(100%-'Données projet'!$C$27)</f>
        <v>17.356950000000001</v>
      </c>
      <c r="L6" s="161">
        <f ca="1">G6+I6+K6</f>
        <v>279.87648495591162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Mélèze hybride</v>
      </c>
      <c r="B7" s="163">
        <f>'Données projet'!D10</f>
        <v>1.1180000000000001</v>
      </c>
      <c r="C7" s="156">
        <f ca="1">IF(OR('Données projet'!B10="",'Données projet'!C10="",'Données projet'!C10=0%),0,Calculateur!AN3)</f>
        <v>164.0740581424559</v>
      </c>
      <c r="D7" s="156">
        <f>IF(OR('Données projet'!B10="",'Données projet'!C10="",'Données projet'!C10=0%),0,Calculateur!AO3)</f>
        <v>280.99861170359793</v>
      </c>
      <c r="E7" s="156">
        <f t="shared" ref="E7:E15" ca="1" si="0">MIN(C7,D7)</f>
        <v>164.0740581424559</v>
      </c>
      <c r="F7" s="156">
        <f t="shared" ref="F7:F15" ca="1" si="1">E7*B7</f>
        <v>183.43479700326571</v>
      </c>
      <c r="G7" s="156">
        <f ca="1">F7*(100%-'Données projet'!$C$24)*(100%-'Données projet'!$C$25)*(100%-'Données projet'!$C$26)*(100%-'Données projet'!$C$27)</f>
        <v>165.09131730293916</v>
      </c>
      <c r="H7" s="164">
        <f>IF(OR('Données projet'!B10="",'Données projet'!C10="",'Données projet'!C10=0%),0,AVERAGE(Calculateur!$AX$3:$AX$33)*B7)</f>
        <v>16.622534485192677</v>
      </c>
      <c r="I7" s="158">
        <f>H7*(100%-'Données projet'!$C$24)*(100%-'Données projet'!$C$25)*(100%-'Données projet'!$C$26)*(100%-'Données projet'!$C$27)</f>
        <v>14.960281036673409</v>
      </c>
      <c r="J7" s="159">
        <f>IF(OR('Données projet'!B10="",'Données projet'!C10="",'Données projet'!C10=0%),0,SUM(Calculateur!$AQ$3:$AQ$33)*VLOOKUP('Données projet'!$B$10,Paramètres!$A$1:$I$89,9,0)*B7)</f>
        <v>138.93386000000001</v>
      </c>
      <c r="K7" s="160">
        <f>J7*(100%-'Données projet'!$C$24)*(100%-'Données projet'!$C$25)*(100%-'Données projet'!$C$26)*(100%-'Données projet'!$C$27)</f>
        <v>125.04047400000002</v>
      </c>
      <c r="L7" s="161">
        <f t="shared" ref="L7:L15" ca="1" si="2">G7+I7+K7</f>
        <v>305.09207233961263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0.59800000000000009</v>
      </c>
      <c r="C8" s="156">
        <f ca="1">IF(OR('Données projet'!B11="",'Données projet'!C11="",'Données projet'!C11=0%),0,Calculateur!BI3)</f>
        <v>90.829393941874685</v>
      </c>
      <c r="D8" s="156">
        <f>IF(OR('Données projet'!B11="",'Données projet'!C11="",'Données projet'!C11=0%),0,Calculateur!BJ3)</f>
        <v>113.5315547498717</v>
      </c>
      <c r="E8" s="156">
        <f t="shared" ca="1" si="0"/>
        <v>90.829393941874685</v>
      </c>
      <c r="F8" s="156">
        <f t="shared" ca="1" si="1"/>
        <v>54.315977577241071</v>
      </c>
      <c r="G8" s="156">
        <f ca="1">F8*(100%-'Données projet'!$C$24)*(100%-'Données projet'!$C$25)*(100%-'Données projet'!$C$26)*(100%-'Données projet'!$C$27)</f>
        <v>48.884379819516965</v>
      </c>
      <c r="H8" s="164">
        <f>IF(OR('Données projet'!B11="",'Données projet'!C11="",'Données projet'!C11=0%),0,AVERAGE(Calculateur!$BS$3:$BS$33)*B8)</f>
        <v>1.9317829647868534</v>
      </c>
      <c r="I8" s="158">
        <f>H8*(100%-'Données projet'!$C$24)*(100%-'Données projet'!$C$25)*(100%-'Données projet'!$C$26)*(100%-'Données projet'!$C$27)</f>
        <v>1.7386046683081682</v>
      </c>
      <c r="J8" s="159">
        <f>IF(OR('Données projet'!B11="",'Données projet'!C11="",'Données projet'!C11=0%),0,SUM(Calculateur!$BL$3:$BL$33)*VLOOKUP('Données projet'!$B$11,Paramètres!$A$1:$I$89,9,0)*B8)</f>
        <v>12.857000000000001</v>
      </c>
      <c r="K8" s="160">
        <f>J8*(100%-'Données projet'!$C$24)*(100%-'Données projet'!$C$25)*(100%-'Données projet'!$C$26)*(100%-'Données projet'!$C$27)</f>
        <v>11.571300000000001</v>
      </c>
      <c r="L8" s="161">
        <f t="shared" ca="1" si="2"/>
        <v>62.194284487825136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Aulne glutineux</v>
      </c>
      <c r="B9" s="163">
        <f>'Données projet'!D12</f>
        <v>0.23399999999999999</v>
      </c>
      <c r="C9" s="156">
        <f ca="1">IF(OR('Données projet'!B12="",'Données projet'!C12="",'Données projet'!C12=0%),0,Calculateur!CD3)</f>
        <v>211.95495599943246</v>
      </c>
      <c r="D9" s="156">
        <f>IF(OR('Données projet'!B12="",'Données projet'!C12="",'Données projet'!C12=0%),0,Calculateur!CE3)</f>
        <v>270.47407508916842</v>
      </c>
      <c r="E9" s="156">
        <f t="shared" ca="1" si="0"/>
        <v>211.95495599943246</v>
      </c>
      <c r="F9" s="156">
        <f t="shared" ca="1" si="1"/>
        <v>49.597459703867194</v>
      </c>
      <c r="G9" s="156">
        <f ca="1">F9*(100%-'Données projet'!$C$24)*(100%-'Données projet'!$C$25)*(100%-'Données projet'!$C$26)*(100%-'Données projet'!$C$27)</f>
        <v>44.637713733480474</v>
      </c>
      <c r="H9" s="164">
        <f>IF(OR('Données projet'!B12="",'Données projet'!C12="",'Données projet'!C12=0%),0,AVERAGE(Calculateur!$CN$3:$CN$33)*B9)</f>
        <v>1.5035661273774594</v>
      </c>
      <c r="I9" s="158">
        <f>H9*(100%-'Données projet'!$C$24)*(100%-'Données projet'!$C$25)*(100%-'Données projet'!$C$26)*(100%-'Données projet'!$C$27)</f>
        <v>1.3532095146397136</v>
      </c>
      <c r="J9" s="159">
        <f>IF(OR('Données projet'!B12="",'Données projet'!C12="",'Données projet'!C12=0%),0,SUM(Calculateur!$CG$3:$CG$33)*VLOOKUP('Données projet'!$B$12,Paramètres!$A$1:$I$89,9,0)*B9)</f>
        <v>10.237499999999999</v>
      </c>
      <c r="K9" s="160">
        <f>J9*(100%-'Données projet'!$C$24)*(100%-'Données projet'!$C$25)*(100%-'Données projet'!$C$26)*(100%-'Données projet'!$C$27)</f>
        <v>9.2137499999999992</v>
      </c>
      <c r="L9" s="161">
        <f t="shared" ca="1" si="2"/>
        <v>55.204673248120187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577.59691565921446</v>
      </c>
      <c r="G16" s="175">
        <f t="shared" ca="1" si="3"/>
        <v>519.837224093293</v>
      </c>
      <c r="H16" s="176">
        <f t="shared" si="3"/>
        <v>21.497574375751721</v>
      </c>
      <c r="I16" s="176">
        <f t="shared" si="3"/>
        <v>19.347816938176543</v>
      </c>
      <c r="J16" s="177">
        <f t="shared" si="3"/>
        <v>181.31386000000001</v>
      </c>
      <c r="K16" s="177">
        <f t="shared" si="3"/>
        <v>163.18247400000004</v>
      </c>
      <c r="L16" s="178">
        <f t="shared" ca="1" si="3"/>
        <v>702.36751503146968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Aulne glutineux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H1" zoomScale="80" zoomScaleNormal="80" workbookViewId="0">
      <selection activeCell="T4" sqref="T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2177.6201121719341</v>
      </c>
      <c r="U10" s="190">
        <f>'Données projet'!D9</f>
        <v>0.65</v>
      </c>
      <c r="V10" s="189">
        <f>U10*T10</f>
        <v>1415.4530729117573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hybride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661.67669441243515</v>
      </c>
      <c r="U11" s="190">
        <f>'Données projet'!D10</f>
        <v>1.1180000000000001</v>
      </c>
      <c r="V11" s="189">
        <f t="shared" ref="V11" si="0">U11*T11</f>
        <v>739.75454435310257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-2596.807452712856</v>
      </c>
      <c r="U12" s="190">
        <f>'Données projet'!D11</f>
        <v>0.59800000000000009</v>
      </c>
      <c r="V12" s="189">
        <f t="shared" ref="V12:V19" si="1">U12*T12</f>
        <v>-1552.8908567222882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Aulne glutineux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-107.24769486680782</v>
      </c>
      <c r="U13" s="190">
        <f>'Données projet'!D12</f>
        <v>0.23399999999999999</v>
      </c>
      <c r="V13" s="189">
        <f t="shared" si="1"/>
        <v>-25.095960598833027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((1100*1.05)+550+(1100*0.42))/0.65</f>
        <v>3333.8461538461538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50.000000000000028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2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100.00000000000006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((515.1+884+1122-257.55)/0.6)+((536.17+186+201.5+188.5+594-268.09)/0.88)+((498.12+360-249.06)/1.12)</f>
        <v>5950.5687229437226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(270+2250)/2.6</f>
        <v>969.23076923076917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(315+2625)/2.6</f>
        <v>1130.7692307692307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f>(382.5+3187.5)/2.6</f>
        <v>1373.0769230769231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-23126.366066412382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28.784508991069576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21</v>
      </c>
      <c r="C25" s="206">
        <v>15</v>
      </c>
      <c r="D25" s="194">
        <f t="shared" si="2"/>
        <v>315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-23155.150575403452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48</v>
      </c>
      <c r="C26" s="206">
        <v>20</v>
      </c>
      <c r="D26" s="194">
        <f t="shared" si="2"/>
        <v>960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35</v>
      </c>
      <c r="B27" s="193">
        <f>'Données projet'!D40</f>
        <v>61</v>
      </c>
      <c r="C27" s="206">
        <v>30</v>
      </c>
      <c r="D27" s="194">
        <f t="shared" si="2"/>
        <v>1830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40</v>
      </c>
      <c r="B28" s="193">
        <f>'Données projet'!D41</f>
        <v>64</v>
      </c>
      <c r="C28" s="206">
        <v>30</v>
      </c>
      <c r="D28" s="194">
        <f t="shared" si="2"/>
        <v>1920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45</v>
      </c>
      <c r="B29" s="193">
        <f>'Données projet'!D42</f>
        <v>70</v>
      </c>
      <c r="C29" s="206">
        <v>40</v>
      </c>
      <c r="D29" s="194">
        <f t="shared" si="2"/>
        <v>2800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50</v>
      </c>
      <c r="B30" s="193">
        <f>'Données projet'!D43</f>
        <v>73</v>
      </c>
      <c r="C30" s="206">
        <v>40</v>
      </c>
      <c r="D30" s="194">
        <f t="shared" si="2"/>
        <v>2920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55</v>
      </c>
      <c r="B31" s="193">
        <f>'Données projet'!D44</f>
        <v>67</v>
      </c>
      <c r="C31" s="206">
        <v>50</v>
      </c>
      <c r="D31" s="194">
        <f t="shared" si="2"/>
        <v>3350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60</v>
      </c>
      <c r="B32" s="193">
        <f>'Données projet'!D45</f>
        <v>61</v>
      </c>
      <c r="C32" s="206">
        <v>50</v>
      </c>
      <c r="D32" s="194">
        <f t="shared" si="2"/>
        <v>3050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65</v>
      </c>
      <c r="B33" s="193">
        <f>'Données projet'!D46</f>
        <v>700</v>
      </c>
      <c r="C33" s="206">
        <v>80</v>
      </c>
      <c r="D33" s="194">
        <f t="shared" si="2"/>
        <v>56000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(((1630*1.05)+790.5+595+(1630*0.42))/1.12)</f>
        <v>3376.4285714285711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12</v>
      </c>
      <c r="B54" s="193">
        <f>'Données projet'!D62</f>
        <v>21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15</v>
      </c>
      <c r="B55" s="193">
        <f>'Données projet'!D63</f>
        <v>47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18</v>
      </c>
      <c r="B56" s="193">
        <f>'Données projet'!D64</f>
        <v>61</v>
      </c>
      <c r="C56" s="204">
        <v>15</v>
      </c>
      <c r="D56" s="191">
        <f t="shared" si="4"/>
        <v>915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24</v>
      </c>
      <c r="B57" s="193">
        <f>'Données projet'!D65</f>
        <v>84</v>
      </c>
      <c r="C57" s="204">
        <v>20</v>
      </c>
      <c r="D57" s="191">
        <f t="shared" si="4"/>
        <v>1680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30</v>
      </c>
      <c r="B58" s="193">
        <f>'Données projet'!D66</f>
        <v>76</v>
      </c>
      <c r="C58" s="204">
        <v>30</v>
      </c>
      <c r="D58" s="191">
        <f t="shared" si="4"/>
        <v>2280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36</v>
      </c>
      <c r="B59" s="193">
        <f>'Données projet'!D67</f>
        <v>75</v>
      </c>
      <c r="C59" s="204">
        <v>30</v>
      </c>
      <c r="D59" s="191">
        <f t="shared" si="4"/>
        <v>2250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42</v>
      </c>
      <c r="B60" s="193">
        <f>'Données projet'!D68</f>
        <v>278</v>
      </c>
      <c r="C60" s="204">
        <v>45</v>
      </c>
      <c r="D60" s="191">
        <f t="shared" si="4"/>
        <v>12510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str">
        <f>IF(O75+1&lt;=MIN('Données projet'!$E$9:$E$18),O75+1,"STOP")</f>
        <v>STOP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(892.5+1037+357)/0.6</f>
        <v>3810.8333333333335</v>
      </c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18</v>
      </c>
      <c r="B85" s="193">
        <f>'Données projet'!D88</f>
        <v>20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27</v>
      </c>
      <c r="B86" s="193">
        <f>'Données projet'!D89</f>
        <v>30</v>
      </c>
      <c r="C86" s="204">
        <v>10</v>
      </c>
      <c r="D86" s="191">
        <f t="shared" ref="D86:D104" si="6">B86*C86</f>
        <v>300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36</v>
      </c>
      <c r="B87" s="193">
        <f>'Données projet'!D90</f>
        <v>40</v>
      </c>
      <c r="C87" s="204">
        <v>20</v>
      </c>
      <c r="D87" s="191">
        <f t="shared" si="6"/>
        <v>800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45</v>
      </c>
      <c r="B88" s="193">
        <f>'Données projet'!D91</f>
        <v>40</v>
      </c>
      <c r="C88" s="204">
        <v>20</v>
      </c>
      <c r="D88" s="191">
        <f t="shared" si="6"/>
        <v>800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54</v>
      </c>
      <c r="B89" s="193">
        <f>'Données projet'!D92</f>
        <v>50</v>
      </c>
      <c r="C89" s="204">
        <v>30</v>
      </c>
      <c r="D89" s="191">
        <f t="shared" si="6"/>
        <v>1500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60</v>
      </c>
      <c r="B90" s="193">
        <f>'Données projet'!D93</f>
        <v>221</v>
      </c>
      <c r="C90" s="204">
        <v>45</v>
      </c>
      <c r="D90" s="191">
        <f t="shared" si="6"/>
        <v>9945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Aulne glutineux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((125*1.05)+75+(125*0.42))/0.23</f>
        <v>1125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10</v>
      </c>
      <c r="B116" s="193">
        <f>'Données projet'!D114</f>
        <v>7</v>
      </c>
      <c r="C116" s="204"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15</v>
      </c>
      <c r="B117" s="193">
        <f>'Données projet'!D115</f>
        <v>42</v>
      </c>
      <c r="C117" s="204">
        <v>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20</v>
      </c>
      <c r="B118" s="193">
        <f>'Données projet'!D116</f>
        <v>42</v>
      </c>
      <c r="C118" s="204">
        <v>2</v>
      </c>
      <c r="D118" s="191">
        <f t="shared" si="8"/>
        <v>84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25</v>
      </c>
      <c r="B119" s="193">
        <f>'Données projet'!D117</f>
        <v>42</v>
      </c>
      <c r="C119" s="204">
        <v>2</v>
      </c>
      <c r="D119" s="191">
        <f t="shared" si="8"/>
        <v>84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30</v>
      </c>
      <c r="B120" s="193">
        <f>'Données projet'!D118</f>
        <v>42</v>
      </c>
      <c r="C120" s="204">
        <v>2</v>
      </c>
      <c r="D120" s="191">
        <f t="shared" si="8"/>
        <v>84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35</v>
      </c>
      <c r="B121" s="193">
        <f>'Données projet'!D119</f>
        <v>42</v>
      </c>
      <c r="C121" s="204">
        <v>2</v>
      </c>
      <c r="D121" s="191">
        <f t="shared" si="8"/>
        <v>84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40</v>
      </c>
      <c r="B122" s="193">
        <f>'Données projet'!D120</f>
        <v>40</v>
      </c>
      <c r="C122" s="204">
        <v>10</v>
      </c>
      <c r="D122" s="191">
        <f t="shared" si="8"/>
        <v>400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45</v>
      </c>
      <c r="B123" s="193">
        <f>'Données projet'!D121</f>
        <v>26</v>
      </c>
      <c r="C123" s="204">
        <v>10</v>
      </c>
      <c r="D123" s="191">
        <f t="shared" si="8"/>
        <v>260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50</v>
      </c>
      <c r="B124" s="193">
        <f>'Données projet'!D122</f>
        <v>21</v>
      </c>
      <c r="C124" s="204">
        <v>20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55</v>
      </c>
      <c r="B125" s="193">
        <f>'Données projet'!D123</f>
        <v>18</v>
      </c>
      <c r="C125" s="204">
        <v>20</v>
      </c>
      <c r="D125" s="191">
        <f t="shared" si="8"/>
        <v>360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60</v>
      </c>
      <c r="B126" s="193">
        <f>'Données projet'!D124</f>
        <v>342</v>
      </c>
      <c r="C126" s="204">
        <v>30</v>
      </c>
      <c r="D126" s="191">
        <f t="shared" si="8"/>
        <v>10260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2022-09-22T10:05:53Z</dcterms:modified>
</cp:coreProperties>
</file>