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Evreux\zzzSCEA des Tilleuls - POTIN Olivier\doc fin\"/>
    </mc:Choice>
  </mc:AlternateContent>
  <xr:revisionPtr revIDLastSave="0" documentId="13_ncr:1_{1BA82396-EE6C-4386-BBA6-D582FA25E87F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38" i="2" l="1" a="1"/>
  <c r="BC38" i="2" s="1"/>
  <c r="BC18" i="2" a="1"/>
  <c r="BC18" i="2" s="1"/>
  <c r="BC55" i="2" a="1"/>
  <c r="BC55" i="2" s="1"/>
  <c r="BC130" i="2" a="1"/>
  <c r="BC130" i="2" s="1"/>
  <c r="BC114" i="2" a="1"/>
  <c r="BC114" i="2" s="1"/>
  <c r="BC181" i="2" a="1"/>
  <c r="BC181" i="2" s="1"/>
  <c r="BC126" i="2" a="1"/>
  <c r="BC126" i="2" s="1"/>
  <c r="BC68" i="2" a="1"/>
  <c r="BC68" i="2" s="1"/>
  <c r="BC143" i="2" a="1"/>
  <c r="BC143" i="2" s="1"/>
  <c r="BC31" i="2" a="1"/>
  <c r="BC31" i="2" s="1"/>
  <c r="BC84" i="2" a="1"/>
  <c r="BC84" i="2" s="1"/>
  <c r="BC32" i="2" a="1"/>
  <c r="BC32" i="2" s="1"/>
  <c r="BC164" i="2" a="1"/>
  <c r="BC164" i="2" s="1"/>
  <c r="BC192" i="2" a="1"/>
  <c r="BC192" i="2" s="1"/>
  <c r="BC117" i="2" a="1"/>
  <c r="BC117" i="2" s="1"/>
  <c r="BC65" i="2" a="1"/>
  <c r="BC65" i="2" s="1"/>
  <c r="BC82" i="2" a="1"/>
  <c r="BC82" i="2" s="1"/>
  <c r="BC47" i="2" a="1"/>
  <c r="BC47" i="2" s="1"/>
  <c r="BC58" i="2" a="1"/>
  <c r="BC58" i="2" s="1"/>
  <c r="BC34" i="2" a="1"/>
  <c r="BC34" i="2" s="1"/>
  <c r="BC7" i="2" a="1"/>
  <c r="BC7" i="2" s="1"/>
  <c r="BD7" i="2" s="1"/>
  <c r="BC83" i="2" a="1"/>
  <c r="BC83" i="2" s="1"/>
  <c r="BC151" i="2" a="1"/>
  <c r="BC151" i="2" s="1"/>
  <c r="BC185" i="2" a="1"/>
  <c r="BC185" i="2" s="1"/>
  <c r="AH19" i="2" a="1"/>
  <c r="AH19" i="2" s="1"/>
  <c r="AH199" i="2" a="1"/>
  <c r="AH199" i="2" s="1"/>
  <c r="AH166" i="2" a="1"/>
  <c r="AH166" i="2" s="1"/>
  <c r="AH90" i="2" a="1"/>
  <c r="AH90" i="2" s="1"/>
  <c r="AH151" i="2" a="1"/>
  <c r="AH151" i="2" s="1"/>
  <c r="AH163" i="2" a="1"/>
  <c r="AH163" i="2" s="1"/>
  <c r="AH62" i="2" a="1"/>
  <c r="AH62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I97" i="2" s="1"/>
  <c r="BS104" i="2"/>
  <c r="BE106" i="2"/>
  <c r="BI25" i="2" l="1"/>
  <c r="BI156" i="2"/>
  <c r="BI177" i="2"/>
  <c r="BI145" i="2"/>
  <c r="BI171" i="2"/>
  <c r="BI146" i="2"/>
  <c r="BI135" i="2"/>
  <c r="BI158" i="2"/>
  <c r="BI4" i="2"/>
  <c r="BI77" i="2"/>
  <c r="BI149" i="2"/>
  <c r="BI98" i="2"/>
  <c r="BI41" i="2"/>
  <c r="BI139" i="2"/>
  <c r="BI117" i="2"/>
  <c r="BI175" i="2"/>
  <c r="BI86" i="2"/>
  <c r="BI72" i="2"/>
  <c r="BI190" i="2"/>
  <c r="BI138" i="2"/>
  <c r="BI69" i="2"/>
  <c r="BI101" i="2"/>
  <c r="BI67" i="2"/>
  <c r="BI131" i="2"/>
  <c r="BI185" i="2"/>
  <c r="BI7" i="2"/>
  <c r="BI172" i="2"/>
  <c r="BI124" i="2"/>
  <c r="BI49" i="2"/>
  <c r="BI18" i="2"/>
  <c r="BI136" i="2"/>
  <c r="BI59" i="2"/>
  <c r="BI14" i="2"/>
  <c r="BI197" i="2"/>
  <c r="BI170" i="2"/>
  <c r="BI113" i="2"/>
  <c r="BI50" i="2"/>
  <c r="BI114" i="2"/>
  <c r="BI34" i="2"/>
  <c r="BI198" i="2"/>
  <c r="BI179" i="2"/>
  <c r="BI99" i="2"/>
  <c r="BI16" i="2"/>
  <c r="BI189" i="2"/>
  <c r="BI5" i="2"/>
  <c r="BI196" i="2"/>
  <c r="BI134" i="2"/>
  <c r="BI186" i="2"/>
  <c r="BI6" i="2"/>
  <c r="BI178" i="2"/>
  <c r="BI29" i="2"/>
  <c r="BI191" i="2"/>
  <c r="BI19" i="2"/>
  <c r="BI82" i="2"/>
  <c r="BI23" i="2"/>
  <c r="BI87" i="2"/>
  <c r="BI63" i="2"/>
  <c r="BI51" i="2"/>
  <c r="BI68" i="2"/>
  <c r="BI3" i="2"/>
  <c r="C8" i="4" s="1"/>
  <c r="E8" i="4" s="1"/>
  <c r="F8" i="4" s="1"/>
  <c r="G8" i="4" s="1"/>
  <c r="L8" i="4" s="1"/>
  <c r="BI64" i="2"/>
  <c r="BI9" i="2"/>
  <c r="BI73" i="2"/>
  <c r="BI176" i="2"/>
  <c r="BI62" i="2"/>
  <c r="BI148" i="2"/>
  <c r="BI58" i="2"/>
  <c r="BI155" i="2"/>
  <c r="BI192" i="2"/>
  <c r="BI121" i="2"/>
  <c r="BI15" i="2"/>
  <c r="BI116" i="2"/>
  <c r="BI37" i="2"/>
  <c r="BI180" i="2"/>
  <c r="BI22" i="2"/>
  <c r="BI32" i="2"/>
  <c r="BI21" i="2"/>
  <c r="BI151" i="2"/>
  <c r="BI103" i="2"/>
  <c r="BI76" i="2"/>
  <c r="BI93" i="2"/>
  <c r="BI74" i="2"/>
  <c r="BI128" i="2"/>
  <c r="BI193" i="2"/>
  <c r="BI85" i="2"/>
  <c r="BI42" i="2"/>
  <c r="BI89" i="2"/>
  <c r="BI162" i="2"/>
  <c r="BI105" i="2"/>
  <c r="BI182" i="2"/>
  <c r="BI84" i="2"/>
  <c r="BI106" i="2"/>
  <c r="BI188" i="2"/>
  <c r="BI104" i="2"/>
  <c r="BI140" i="2"/>
  <c r="BI70" i="2"/>
  <c r="BI184" i="2"/>
  <c r="BI203" i="2"/>
  <c r="BI163" i="2"/>
  <c r="BI125" i="2"/>
  <c r="BI115" i="2"/>
  <c r="BI202" i="2"/>
  <c r="BI147" i="2"/>
  <c r="BI79" i="2"/>
  <c r="BI122" i="2"/>
  <c r="BI71" i="2"/>
  <c r="BI75" i="2"/>
  <c r="BI153" i="2"/>
  <c r="BI83" i="2"/>
  <c r="BI55" i="2"/>
  <c r="BI141" i="2"/>
  <c r="BI90" i="2"/>
  <c r="BI201" i="2"/>
  <c r="BI88" i="2"/>
  <c r="BI120" i="2"/>
  <c r="BI26" i="2"/>
  <c r="BI174" i="2"/>
  <c r="BI165" i="2"/>
  <c r="BI107" i="2"/>
  <c r="BI81" i="2"/>
  <c r="BI20" i="2"/>
  <c r="BI11" i="2"/>
  <c r="BI132" i="2"/>
  <c r="BI144" i="2"/>
  <c r="BI61" i="2"/>
  <c r="BI173" i="2"/>
  <c r="BI126" i="2"/>
  <c r="BI24" i="2"/>
  <c r="BI46" i="2"/>
  <c r="BI133" i="2"/>
  <c r="BI181" i="2"/>
  <c r="BI48" i="2"/>
  <c r="BI168" i="2"/>
  <c r="BI183" i="2"/>
  <c r="BI150" i="2"/>
  <c r="BI102" i="2"/>
  <c r="BI13" i="2"/>
  <c r="BI200" i="2"/>
  <c r="BI111" i="2"/>
  <c r="BI119" i="2"/>
  <c r="BI54" i="2"/>
  <c r="BI169" i="2"/>
  <c r="BI27" i="2"/>
  <c r="BI195" i="2"/>
  <c r="BI110" i="2"/>
  <c r="BI164" i="2"/>
  <c r="BI60" i="2"/>
  <c r="BI28" i="2"/>
  <c r="BI38" i="2"/>
  <c r="BI80" i="2"/>
  <c r="BI194" i="2"/>
  <c r="BI167" i="2"/>
  <c r="BI31" i="2"/>
  <c r="BI143" i="2"/>
  <c r="BI78" i="2"/>
  <c r="BI40" i="2"/>
  <c r="BI92" i="2"/>
  <c r="BI127" i="2"/>
  <c r="BI33" i="2"/>
  <c r="BI52" i="2"/>
  <c r="BI95" i="2"/>
  <c r="BI109" i="2"/>
  <c r="BI118" i="2"/>
  <c r="BI161" i="2"/>
  <c r="BI8" i="2"/>
  <c r="BI10" i="2"/>
  <c r="BI35" i="2"/>
  <c r="BI142" i="2"/>
  <c r="BI152" i="2"/>
  <c r="BI53" i="2"/>
  <c r="BI108" i="2"/>
  <c r="BI129" i="2"/>
  <c r="BI39" i="2"/>
  <c r="BI159" i="2"/>
  <c r="BI17" i="2"/>
  <c r="BI66" i="2"/>
  <c r="BI199" i="2"/>
  <c r="BI166" i="2"/>
  <c r="BI123" i="2"/>
  <c r="BI12" i="2"/>
  <c r="BI57" i="2"/>
  <c r="BI56" i="2"/>
  <c r="BI30" i="2"/>
  <c r="BI157" i="2"/>
  <c r="BI154" i="2"/>
  <c r="BI94" i="2"/>
  <c r="BI65" i="2"/>
  <c r="BI100" i="2"/>
  <c r="BI91" i="2"/>
  <c r="BI45" i="2"/>
  <c r="BI96" i="2"/>
  <c r="BI36" i="2"/>
  <c r="BI137" i="2"/>
  <c r="BI187" i="2"/>
  <c r="BI130" i="2"/>
  <c r="BI160" i="2"/>
  <c r="BI43" i="2"/>
  <c r="BI44" i="2"/>
  <c r="BI112" i="2"/>
  <c r="BI47" i="2"/>
  <c r="FE194" i="2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<sst xmlns="http://schemas.openxmlformats.org/spreadsheetml/2006/main" count="1172" uniqueCount="324">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</sst>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1.9143975374625271</c:v>
                </c:pt>
                <c:pt idx="2">
                  <c:v>2.3631301223601535</c:v>
                </c:pt>
                <c:pt idx="3">
                  <c:v>2.9174548238720219</c:v>
                </c:pt>
                <c:pt idx="4">
                  <c:v>3.6023098465007668</c:v>
                </c:pt>
                <c:pt idx="5">
                  <c:v>4.4485433596983173</c:v>
                </c:pt>
                <c:pt idx="6">
                  <c:v>5.4943185233666361</c:v>
                </c:pt>
                <c:pt idx="7">
                  <c:v>6.7868535221036126</c:v>
                </c:pt>
                <c:pt idx="8">
                  <c:v>8.3845767013125236</c:v>
                </c:pt>
                <c:pt idx="9">
                  <c:v>10.359796093769079</c:v>
                </c:pt>
                <c:pt idx="10">
                  <c:v>12.802006431437341</c:v>
                </c:pt>
                <c:pt idx="11">
                  <c:v>15.821986263961561</c:v>
                </c:pt>
                <c:pt idx="12">
                  <c:v>19.556874429624859</c:v>
                </c:pt>
                <c:pt idx="13">
                  <c:v>24.176460556140523</c:v>
                </c:pt>
                <c:pt idx="14">
                  <c:v>29.890980629355308</c:v>
                </c:pt>
                <c:pt idx="15">
                  <c:v>36.960778591833304</c:v>
                </c:pt>
                <c:pt idx="16">
                  <c:v>45.70828169028141</c:v>
                </c:pt>
                <c:pt idx="17">
                  <c:v>56.532844940434195</c:v>
                </c:pt>
                <c:pt idx="18">
                  <c:v>69.929153660494023</c:v>
                </c:pt>
                <c:pt idx="19">
                  <c:v>86.510038797475374</c:v>
                </c:pt>
                <c:pt idx="20">
                  <c:v>107.03476550524589</c:v>
                </c:pt>
                <c:pt idx="21">
                  <c:v>132.44411077759398</c:v>
                </c:pt>
                <c:pt idx="22">
                  <c:v>163.90386287643108</c:v>
                </c:pt>
                <c:pt idx="23">
                  <c:v>159.14039927075092</c:v>
                </c:pt>
                <c:pt idx="24">
                  <c:v>175.15013994164235</c:v>
                </c:pt>
                <c:pt idx="25">
                  <c:v>191.12551298630106</c:v>
                </c:pt>
                <c:pt idx="26">
                  <c:v>186.46577828407854</c:v>
                </c:pt>
                <c:pt idx="27">
                  <c:v>203.79715143595334</c:v>
                </c:pt>
                <c:pt idx="28">
                  <c:v>221.09442404914515</c:v>
                </c:pt>
                <c:pt idx="29">
                  <c:v>238.36063977122203</c:v>
                </c:pt>
                <c:pt idx="30">
                  <c:v>255.59836496686489</c:v>
                </c:pt>
                <c:pt idx="31">
                  <c:v>230.63316428689714</c:v>
                </c:pt>
                <c:pt idx="32">
                  <c:v>249.42678742365072</c:v>
                </c:pt>
                <c:pt idx="33">
                  <c:v>268.1882976169623</c:v>
                </c:pt>
                <c:pt idx="34">
                  <c:v>286.92025704588701</c:v>
                </c:pt>
                <c:pt idx="35">
                  <c:v>305.62486594574438</c:v>
                </c:pt>
                <c:pt idx="36">
                  <c:v>271.5262211522043</c:v>
                </c:pt>
                <c:pt idx="37">
                  <c:v>289.99681160231415</c:v>
                </c:pt>
                <c:pt idx="38">
                  <c:v>308.44111949657542</c:v>
                </c:pt>
                <c:pt idx="39">
                  <c:v>326.86093719547273</c:v>
                </c:pt>
                <c:pt idx="40">
                  <c:v>345.25783856692902</c:v>
                </c:pt>
                <c:pt idx="41">
                  <c:v>317.14231769154247</c:v>
                </c:pt>
                <c:pt idx="42">
                  <c:v>341.42696956725422</c:v>
                </c:pt>
                <c:pt idx="43">
                  <c:v>365.67365126385283</c:v>
                </c:pt>
                <c:pt idx="44">
                  <c:v>389.88523246274644</c:v>
                </c:pt>
                <c:pt idx="45">
                  <c:v>414.06419751906054</c:v>
                </c:pt>
                <c:pt idx="46">
                  <c:v>368.73383823272388</c:v>
                </c:pt>
                <c:pt idx="47">
                  <c:v>390.90393569861902</c:v>
                </c:pt>
                <c:pt idx="48">
                  <c:v>413.04676405305344</c:v>
                </c:pt>
                <c:pt idx="49">
                  <c:v>435.16398965501406</c:v>
                </c:pt>
                <c:pt idx="50">
                  <c:v>457.25709576545165</c:v>
                </c:pt>
                <c:pt idx="51">
                  <c:v>412.31545034855634</c:v>
                </c:pt>
                <c:pt idx="52">
                  <c:v>434.71934533149914</c:v>
                </c:pt>
                <c:pt idx="53">
                  <c:v>457.09846370599325</c:v>
                </c:pt>
                <c:pt idx="54">
                  <c:v>479.45418811198141</c:v>
                </c:pt>
                <c:pt idx="55">
                  <c:v>501.78776183351812</c:v>
                </c:pt>
                <c:pt idx="56">
                  <c:v>524.10030854720526</c:v>
                </c:pt>
                <c:pt idx="57">
                  <c:v>546.39284853374647</c:v>
                </c:pt>
                <c:pt idx="58">
                  <c:v>568.66631210732646</c:v>
                </c:pt>
                <c:pt idx="59">
                  <c:v>491.0196521124895</c:v>
                </c:pt>
                <c:pt idx="60">
                  <c:v>512.07623603023308</c:v>
                </c:pt>
                <c:pt idx="61">
                  <c:v>533.11454122394582</c:v>
                </c:pt>
                <c:pt idx="62">
                  <c:v>554.13538990317852</c:v>
                </c:pt>
                <c:pt idx="63">
                  <c:v>575.13953686439993</c:v>
                </c:pt>
                <c:pt idx="64">
                  <c:v>596.12767732798443</c:v>
                </c:pt>
                <c:pt idx="65">
                  <c:v>617.10045361481673</c:v>
                </c:pt>
                <c:pt idx="66">
                  <c:v>638.05846086868871</c:v>
                </c:pt>
                <c:pt idx="67">
                  <c:v>572.29782173470437</c:v>
                </c:pt>
                <c:pt idx="68">
                  <c:v>588.55481451870241</c:v>
                </c:pt>
                <c:pt idx="69">
                  <c:v>604.80245799974352</c:v>
                </c:pt>
                <c:pt idx="70">
                  <c:v>621.04103855425899</c:v>
                </c:pt>
                <c:pt idx="71">
                  <c:v>637.27082637167155</c:v>
                </c:pt>
                <c:pt idx="72">
                  <c:v>653.49207676674712</c:v>
                </c:pt>
                <c:pt idx="73">
                  <c:v>669.70503135496119</c:v>
                </c:pt>
                <c:pt idx="74">
                  <c:v>685.90991910820378</c:v>
                </c:pt>
                <c:pt idx="75">
                  <c:v>650.50043827916329</c:v>
                </c:pt>
                <c:pt idx="76">
                  <c:v>661.67827996165295</c:v>
                </c:pt>
                <c:pt idx="77">
                  <c:v>672.85223568835988</c:v>
                </c:pt>
                <c:pt idx="78">
                  <c:v>684.0223790645324</c:v>
                </c:pt>
                <c:pt idx="79">
                  <c:v>695.18878109639593</c:v>
                </c:pt>
                <c:pt idx="80">
                  <c:v>706.35151032407646</c:v>
                </c:pt>
                <c:pt idx="81">
                  <c:v>717.5106329456886</c:v>
                </c:pt>
                <c:pt idx="82">
                  <c:v>728.66621293330627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133.83448558206604</c:v>
                </c:pt>
                <c:pt idx="22">
                  <c:v>143.17159315460216</c:v>
                </c:pt>
                <c:pt idx="23">
                  <c:v>152.49411749416092</c:v>
                </c:pt>
                <c:pt idx="24">
                  <c:v>161.80307694345507</c:v>
                </c:pt>
                <c:pt idx="25">
                  <c:v>171.09936290494795</c:v>
                </c:pt>
                <c:pt idx="26">
                  <c:v>180.38376185573745</c:v>
                </c:pt>
                <c:pt idx="27">
                  <c:v>189.65697258310968</c:v>
                </c:pt>
                <c:pt idx="28">
                  <c:v>198.91961986626634</c:v>
                </c:pt>
                <c:pt idx="29">
                  <c:v>208.17226547186976</c:v>
                </c:pt>
                <c:pt idx="30">
                  <c:v>217.41541708927392</c:v>
                </c:pt>
                <c:pt idx="31">
                  <c:v>173.89097206104816</c:v>
                </c:pt>
                <c:pt idx="32">
                  <c:v>184.03353707055851</c:v>
                </c:pt>
                <c:pt idx="33">
                  <c:v>194.16304064471566</c:v>
                </c:pt>
                <c:pt idx="34">
                  <c:v>204.2802608972855</c:v>
                </c:pt>
                <c:pt idx="35">
                  <c:v>214.38589248354256</c:v>
                </c:pt>
                <c:pt idx="36">
                  <c:v>224.48055915021382</c:v>
                </c:pt>
                <c:pt idx="37">
                  <c:v>234.56482390663436</c:v>
                </c:pt>
                <c:pt idx="38">
                  <c:v>244.63919735303134</c:v>
                </c:pt>
                <c:pt idx="39">
                  <c:v>254.70414456356778</c:v>
                </c:pt>
                <c:pt idx="40">
                  <c:v>264.76009082333894</c:v>
                </c:pt>
                <c:pt idx="41">
                  <c:v>211.86053580433213</c:v>
                </c:pt>
                <c:pt idx="42">
                  <c:v>223.47156942353163</c:v>
                </c:pt>
                <c:pt idx="43">
                  <c:v>235.06877345752716</c:v>
                </c:pt>
                <c:pt idx="44">
                  <c:v>246.65292674490271</c:v>
                </c:pt>
                <c:pt idx="45">
                  <c:v>258.22472893839176</c:v>
                </c:pt>
                <c:pt idx="46">
                  <c:v>269.78481182023978</c:v>
                </c:pt>
                <c:pt idx="47">
                  <c:v>281.33374857482323</c:v>
                </c:pt>
                <c:pt idx="48">
                  <c:v>292.87206145774786</c:v>
                </c:pt>
                <c:pt idx="49">
                  <c:v>304.40022819227767</c:v>
                </c:pt>
                <c:pt idx="50">
                  <c:v>315.91868734548365</c:v>
                </c:pt>
                <c:pt idx="51">
                  <c:v>252.18876758094336</c:v>
                </c:pt>
                <c:pt idx="52">
                  <c:v>265.76520570407035</c:v>
                </c:pt>
                <c:pt idx="53">
                  <c:v>279.3260150621507</c:v>
                </c:pt>
                <c:pt idx="54">
                  <c:v>292.87206145774786</c:v>
                </c:pt>
                <c:pt idx="55">
                  <c:v>306.40412403506838</c:v>
                </c:pt>
                <c:pt idx="56">
                  <c:v>319.92290747907703</c:v>
                </c:pt>
                <c:pt idx="57">
                  <c:v>333.42905204366178</c:v>
                </c:pt>
                <c:pt idx="58">
                  <c:v>346.92314186926546</c:v>
                </c:pt>
                <c:pt idx="59">
                  <c:v>360.40571193829396</c:v>
                </c:pt>
                <c:pt idx="60">
                  <c:v>373.87725393504815</c:v>
                </c:pt>
                <c:pt idx="61">
                  <c:v>8.583811758418665E-13</c:v>
                </c:pt>
                <c:pt idx="62">
                  <c:v>8.583811758418665E-13</c:v>
                </c:pt>
                <c:pt idx="63">
                  <c:v>8.583811758418665E-13</c:v>
                </c:pt>
                <c:pt idx="64">
                  <c:v>8.583811758418665E-13</c:v>
                </c:pt>
                <c:pt idx="65">
                  <c:v>8.583811758418665E-13</c:v>
                </c:pt>
                <c:pt idx="66">
                  <c:v>8.583811758418665E-13</c:v>
                </c:pt>
                <c:pt idx="67">
                  <c:v>8.583811758418665E-13</c:v>
                </c:pt>
                <c:pt idx="68">
                  <c:v>8.583811758418665E-13</c:v>
                </c:pt>
                <c:pt idx="69">
                  <c:v>8.583811758418665E-13</c:v>
                </c:pt>
                <c:pt idx="70">
                  <c:v>8.583811758418665E-13</c:v>
                </c:pt>
                <c:pt idx="71">
                  <c:v>8.583811758418665E-13</c:v>
                </c:pt>
                <c:pt idx="72">
                  <c:v>8.583811758418665E-13</c:v>
                </c:pt>
                <c:pt idx="73">
                  <c:v>8.583811758418665E-13</c:v>
                </c:pt>
                <c:pt idx="74">
                  <c:v>8.583811758418665E-13</c:v>
                </c:pt>
                <c:pt idx="75">
                  <c:v>8.583811758418665E-13</c:v>
                </c:pt>
                <c:pt idx="76">
                  <c:v>8.583811758418665E-13</c:v>
                </c:pt>
                <c:pt idx="77">
                  <c:v>8.583811758418665E-13</c:v>
                </c:pt>
                <c:pt idx="78">
                  <c:v>8.583811758418665E-13</c:v>
                </c:pt>
                <c:pt idx="79">
                  <c:v>8.583811758418665E-13</c:v>
                </c:pt>
                <c:pt idx="80">
                  <c:v>8.583811758418665E-13</c:v>
                </c:pt>
                <c:pt idx="81">
                  <c:v>8.583811758418665E-13</c:v>
                </c:pt>
                <c:pt idx="82">
                  <c:v>8.583811758418665E-13</c:v>
                </c:pt>
                <c:pt idx="83">
                  <c:v>8.583811758418665E-13</c:v>
                </c:pt>
                <c:pt idx="84">
                  <c:v>8.583811758418665E-13</c:v>
                </c:pt>
                <c:pt idx="85">
                  <c:v>8.583811758418665E-13</c:v>
                </c:pt>
                <c:pt idx="86">
                  <c:v>8.583811758418665E-13</c:v>
                </c:pt>
                <c:pt idx="87">
                  <c:v>8.583811758418665E-13</c:v>
                </c:pt>
                <c:pt idx="88">
                  <c:v>8.583811758418665E-13</c:v>
                </c:pt>
                <c:pt idx="89">
                  <c:v>8.583811758418665E-13</c:v>
                </c:pt>
                <c:pt idx="90">
                  <c:v>8.583811758418665E-13</c:v>
                </c:pt>
                <c:pt idx="91">
                  <c:v>8.583811758418665E-13</c:v>
                </c:pt>
                <c:pt idx="92">
                  <c:v>8.583811758418665E-13</c:v>
                </c:pt>
                <c:pt idx="93">
                  <c:v>8.583811758418665E-13</c:v>
                </c:pt>
                <c:pt idx="94">
                  <c:v>8.583811758418665E-13</c:v>
                </c:pt>
                <c:pt idx="95">
                  <c:v>8.583811758418665E-13</c:v>
                </c:pt>
                <c:pt idx="96">
                  <c:v>8.583811758418665E-13</c:v>
                </c:pt>
                <c:pt idx="97">
                  <c:v>8.583811758418665E-13</c:v>
                </c:pt>
                <c:pt idx="98">
                  <c:v>8.583811758418665E-13</c:v>
                </c:pt>
                <c:pt idx="99">
                  <c:v>8.583811758418665E-13</c:v>
                </c:pt>
                <c:pt idx="100">
                  <c:v>8.583811758418665E-13</c:v>
                </c:pt>
                <c:pt idx="101">
                  <c:v>8.583811758418665E-13</c:v>
                </c:pt>
                <c:pt idx="102">
                  <c:v>8.583811758418665E-13</c:v>
                </c:pt>
                <c:pt idx="103">
                  <c:v>8.583811758418665E-13</c:v>
                </c:pt>
                <c:pt idx="104">
                  <c:v>8.583811758418665E-13</c:v>
                </c:pt>
                <c:pt idx="105">
                  <c:v>8.583811758418665E-13</c:v>
                </c:pt>
                <c:pt idx="106">
                  <c:v>8.583811758418665E-13</c:v>
                </c:pt>
                <c:pt idx="107">
                  <c:v>8.583811758418665E-13</c:v>
                </c:pt>
                <c:pt idx="108">
                  <c:v>8.583811758418665E-13</c:v>
                </c:pt>
                <c:pt idx="109">
                  <c:v>8.583811758418665E-13</c:v>
                </c:pt>
                <c:pt idx="110">
                  <c:v>8.583811758418665E-13</c:v>
                </c:pt>
                <c:pt idx="111">
                  <c:v>8.583811758418665E-13</c:v>
                </c:pt>
                <c:pt idx="112">
                  <c:v>8.583811758418665E-13</c:v>
                </c:pt>
                <c:pt idx="113">
                  <c:v>8.583811758418665E-13</c:v>
                </c:pt>
                <c:pt idx="114">
                  <c:v>8.583811758418665E-13</c:v>
                </c:pt>
                <c:pt idx="115">
                  <c:v>8.583811758418665E-13</c:v>
                </c:pt>
                <c:pt idx="116">
                  <c:v>8.583811758418665E-13</c:v>
                </c:pt>
                <c:pt idx="117">
                  <c:v>8.583811758418665E-13</c:v>
                </c:pt>
                <c:pt idx="118">
                  <c:v>8.583811758418665E-13</c:v>
                </c:pt>
                <c:pt idx="119">
                  <c:v>8.583811758418665E-13</c:v>
                </c:pt>
                <c:pt idx="120">
                  <c:v>8.583811758418665E-13</c:v>
                </c:pt>
                <c:pt idx="121">
                  <c:v>8.583811758418665E-13</c:v>
                </c:pt>
                <c:pt idx="122">
                  <c:v>8.583811758418665E-13</c:v>
                </c:pt>
                <c:pt idx="123">
                  <c:v>8.583811758418665E-13</c:v>
                </c:pt>
                <c:pt idx="124">
                  <c:v>8.583811758418665E-13</c:v>
                </c:pt>
                <c:pt idx="125">
                  <c:v>8.583811758418665E-13</c:v>
                </c:pt>
                <c:pt idx="126">
                  <c:v>8.583811758418665E-13</c:v>
                </c:pt>
                <c:pt idx="127">
                  <c:v>8.583811758418665E-13</c:v>
                </c:pt>
                <c:pt idx="128">
                  <c:v>8.583811758418665E-13</c:v>
                </c:pt>
                <c:pt idx="129">
                  <c:v>8.583811758418665E-13</c:v>
                </c:pt>
                <c:pt idx="130">
                  <c:v>8.583811758418665E-13</c:v>
                </c:pt>
                <c:pt idx="131">
                  <c:v>8.583811758418665E-13</c:v>
                </c:pt>
                <c:pt idx="132">
                  <c:v>8.583811758418665E-13</c:v>
                </c:pt>
                <c:pt idx="133">
                  <c:v>8.583811758418665E-13</c:v>
                </c:pt>
                <c:pt idx="134">
                  <c:v>8.583811758418665E-13</c:v>
                </c:pt>
                <c:pt idx="135">
                  <c:v>8.583811758418665E-13</c:v>
                </c:pt>
                <c:pt idx="136">
                  <c:v>8.583811758418665E-13</c:v>
                </c:pt>
                <c:pt idx="137">
                  <c:v>8.583811758418665E-13</c:v>
                </c:pt>
                <c:pt idx="138">
                  <c:v>8.583811758418665E-13</c:v>
                </c:pt>
                <c:pt idx="139">
                  <c:v>8.583811758418665E-13</c:v>
                </c:pt>
                <c:pt idx="140">
                  <c:v>8.583811758418665E-13</c:v>
                </c:pt>
                <c:pt idx="141">
                  <c:v>8.583811758418665E-13</c:v>
                </c:pt>
                <c:pt idx="142">
                  <c:v>8.583811758418665E-13</c:v>
                </c:pt>
                <c:pt idx="143">
                  <c:v>8.583811758418665E-13</c:v>
                </c:pt>
                <c:pt idx="144">
                  <c:v>8.583811758418665E-13</c:v>
                </c:pt>
                <c:pt idx="145">
                  <c:v>8.583811758418665E-13</c:v>
                </c:pt>
                <c:pt idx="146">
                  <c:v>8.583811758418665E-13</c:v>
                </c:pt>
                <c:pt idx="147">
                  <c:v>8.583811758418665E-13</c:v>
                </c:pt>
                <c:pt idx="148">
                  <c:v>8.583811758418665E-13</c:v>
                </c:pt>
                <c:pt idx="149">
                  <c:v>8.583811758418665E-13</c:v>
                </c:pt>
                <c:pt idx="150">
                  <c:v>8.583811758418665E-13</c:v>
                </c:pt>
                <c:pt idx="151">
                  <c:v>8.583811758418665E-13</c:v>
                </c:pt>
                <c:pt idx="152">
                  <c:v>8.583811758418665E-13</c:v>
                </c:pt>
                <c:pt idx="153">
                  <c:v>8.583811758418665E-13</c:v>
                </c:pt>
                <c:pt idx="154">
                  <c:v>8.583811758418665E-13</c:v>
                </c:pt>
                <c:pt idx="155">
                  <c:v>8.583811758418665E-13</c:v>
                </c:pt>
                <c:pt idx="156">
                  <c:v>8.583811758418665E-13</c:v>
                </c:pt>
                <c:pt idx="157">
                  <c:v>8.583811758418665E-13</c:v>
                </c:pt>
                <c:pt idx="158">
                  <c:v>8.583811758418665E-13</c:v>
                </c:pt>
                <c:pt idx="159">
                  <c:v>8.583811758418665E-13</c:v>
                </c:pt>
                <c:pt idx="160">
                  <c:v>8.583811758418665E-13</c:v>
                </c:pt>
                <c:pt idx="161">
                  <c:v>8.583811758418665E-13</c:v>
                </c:pt>
                <c:pt idx="162">
                  <c:v>8.583811758418665E-13</c:v>
                </c:pt>
                <c:pt idx="163">
                  <c:v>8.583811758418665E-13</c:v>
                </c:pt>
                <c:pt idx="164">
                  <c:v>8.583811758418665E-13</c:v>
                </c:pt>
                <c:pt idx="165">
                  <c:v>8.583811758418665E-13</c:v>
                </c:pt>
                <c:pt idx="166">
                  <c:v>8.583811758418665E-13</c:v>
                </c:pt>
                <c:pt idx="167">
                  <c:v>8.583811758418665E-13</c:v>
                </c:pt>
                <c:pt idx="168">
                  <c:v>8.583811758418665E-13</c:v>
                </c:pt>
                <c:pt idx="169">
                  <c:v>8.583811758418665E-13</c:v>
                </c:pt>
                <c:pt idx="170">
                  <c:v>8.583811758418665E-13</c:v>
                </c:pt>
                <c:pt idx="171">
                  <c:v>8.583811758418665E-13</c:v>
                </c:pt>
                <c:pt idx="172">
                  <c:v>8.583811758418665E-13</c:v>
                </c:pt>
                <c:pt idx="173">
                  <c:v>8.583811758418665E-13</c:v>
                </c:pt>
                <c:pt idx="174">
                  <c:v>8.583811758418665E-13</c:v>
                </c:pt>
                <c:pt idx="175">
                  <c:v>8.583811758418665E-13</c:v>
                </c:pt>
                <c:pt idx="176">
                  <c:v>8.583811758418665E-13</c:v>
                </c:pt>
                <c:pt idx="177">
                  <c:v>8.583811758418665E-13</c:v>
                </c:pt>
                <c:pt idx="178">
                  <c:v>8.583811758418665E-13</c:v>
                </c:pt>
                <c:pt idx="179">
                  <c:v>8.583811758418665E-13</c:v>
                </c:pt>
                <c:pt idx="180">
                  <c:v>8.583811758418665E-13</c:v>
                </c:pt>
                <c:pt idx="181">
                  <c:v>8.583811758418665E-13</c:v>
                </c:pt>
                <c:pt idx="182">
                  <c:v>8.583811758418665E-13</c:v>
                </c:pt>
                <c:pt idx="183">
                  <c:v>8.583811758418665E-13</c:v>
                </c:pt>
                <c:pt idx="184">
                  <c:v>8.583811758418665E-13</c:v>
                </c:pt>
                <c:pt idx="185">
                  <c:v>8.583811758418665E-13</c:v>
                </c:pt>
                <c:pt idx="186">
                  <c:v>8.583811758418665E-13</c:v>
                </c:pt>
                <c:pt idx="187">
                  <c:v>8.583811758418665E-13</c:v>
                </c:pt>
                <c:pt idx="188">
                  <c:v>8.583811758418665E-13</c:v>
                </c:pt>
                <c:pt idx="189">
                  <c:v>8.583811758418665E-13</c:v>
                </c:pt>
                <c:pt idx="190">
                  <c:v>8.583811758418665E-13</c:v>
                </c:pt>
                <c:pt idx="191">
                  <c:v>8.583811758418665E-13</c:v>
                </c:pt>
                <c:pt idx="192">
                  <c:v>8.583811758418665E-13</c:v>
                </c:pt>
                <c:pt idx="193">
                  <c:v>8.583811758418665E-13</c:v>
                </c:pt>
                <c:pt idx="194">
                  <c:v>8.583811758418665E-13</c:v>
                </c:pt>
                <c:pt idx="195">
                  <c:v>8.583811758418665E-13</c:v>
                </c:pt>
                <c:pt idx="196">
                  <c:v>8.583811758418665E-13</c:v>
                </c:pt>
                <c:pt idx="197">
                  <c:v>8.583811758418665E-13</c:v>
                </c:pt>
                <c:pt idx="198">
                  <c:v>8.583811758418665E-13</c:v>
                </c:pt>
                <c:pt idx="199">
                  <c:v>8.583811758418665E-13</c:v>
                </c:pt>
                <c:pt idx="200">
                  <c:v>8.583811758418665E-13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3.0373846637923445</c:v>
                </c:pt>
                <c:pt idx="2">
                  <c:v>3.5780906624925897</c:v>
                </c:pt>
                <c:pt idx="3">
                  <c:v>4.215402172997206</c:v>
                </c:pt>
                <c:pt idx="4">
                  <c:v>4.9666383866319377</c:v>
                </c:pt>
                <c:pt idx="5">
                  <c:v>5.8522333658713634</c:v>
                </c:pt>
                <c:pt idx="6">
                  <c:v>6.8962979189055469</c:v>
                </c:pt>
                <c:pt idx="7">
                  <c:v>8.1272831050814656</c:v>
                </c:pt>
                <c:pt idx="8">
                  <c:v>9.578763800182891</c:v>
                </c:pt>
                <c:pt idx="9">
                  <c:v>11.290364099936896</c:v>
                </c:pt>
                <c:pt idx="10">
                  <c:v>13.308850299577585</c:v>
                </c:pt>
                <c:pt idx="11">
                  <c:v>15.689421868067676</c:v>
                </c:pt>
                <c:pt idx="12">
                  <c:v>18.497236369330697</c:v>
                </c:pt>
                <c:pt idx="13">
                  <c:v>21.809210825304934</c:v>
                </c:pt>
                <c:pt idx="14">
                  <c:v>25.71614975099514</c:v>
                </c:pt>
                <c:pt idx="15">
                  <c:v>30.325259237860919</c:v>
                </c:pt>
                <c:pt idx="16">
                  <c:v>35.763117276597228</c:v>
                </c:pt>
                <c:pt idx="17">
                  <c:v>42.179183298551266</c:v>
                </c:pt>
                <c:pt idx="18">
                  <c:v>49.749945037412488</c:v>
                </c:pt>
                <c:pt idx="19">
                  <c:v>58.683818696173859</c:v>
                </c:pt>
                <c:pt idx="20">
                  <c:v>69.226939553605035</c:v>
                </c:pt>
                <c:pt idx="21">
                  <c:v>81.670005156979485</c:v>
                </c:pt>
                <c:pt idx="22">
                  <c:v>96.356362830373712</c:v>
                </c:pt>
                <c:pt idx="23">
                  <c:v>113.69156821680933</c:v>
                </c:pt>
                <c:pt idx="24">
                  <c:v>134.15468295741289</c:v>
                </c:pt>
                <c:pt idx="25">
                  <c:v>158.31162856255909</c:v>
                </c:pt>
                <c:pt idx="26">
                  <c:v>156.10734926897979</c:v>
                </c:pt>
                <c:pt idx="27">
                  <c:v>171.52240247513097</c:v>
                </c:pt>
                <c:pt idx="28">
                  <c:v>186.90485368679899</c:v>
                </c:pt>
                <c:pt idx="29">
                  <c:v>202.25776507632233</c:v>
                </c:pt>
                <c:pt idx="30">
                  <c:v>217.58369540679928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231.57421272848475</c:v>
                </c:pt>
                <c:pt idx="37">
                  <c:v>249.9076676355476</c:v>
                </c:pt>
                <c:pt idx="38">
                  <c:v>268.21062796009522</c:v>
                </c:pt>
                <c:pt idx="39">
                  <c:v>286.48546717612544</c:v>
                </c:pt>
                <c:pt idx="40">
                  <c:v>304.73423115701877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322.52505476163668</c:v>
                </c:pt>
                <c:pt idx="47">
                  <c:v>340.29418424269664</c:v>
                </c:pt>
                <c:pt idx="48">
                  <c:v>358.0429114873923</c:v>
                </c:pt>
                <c:pt idx="49">
                  <c:v>375.77238986983883</c:v>
                </c:pt>
                <c:pt idx="50">
                  <c:v>393.4836550724026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405.56917103469476</c:v>
                </c:pt>
                <c:pt idx="57">
                  <c:v>421.95854377334393</c:v>
                </c:pt>
                <c:pt idx="58">
                  <c:v>438.33421494585309</c:v>
                </c:pt>
                <c:pt idx="59">
                  <c:v>454.69676831549214</c:v>
                </c:pt>
                <c:pt idx="60">
                  <c:v>471.04674221919896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472.76708100439259</c:v>
                </c:pt>
                <c:pt idx="67">
                  <c:v>487.38463458913128</c:v>
                </c:pt>
                <c:pt idx="68">
                  <c:v>501.99288641186791</c:v>
                </c:pt>
                <c:pt idx="69">
                  <c:v>516.59214520035414</c:v>
                </c:pt>
                <c:pt idx="70">
                  <c:v>531.18270081556818</c:v>
                </c:pt>
                <c:pt idx="71">
                  <c:v>499.41562163511867</c:v>
                </c:pt>
                <c:pt idx="72">
                  <c:v>512.72849407236004</c:v>
                </c:pt>
                <c:pt idx="73">
                  <c:v>526.034069299154</c:v>
                </c:pt>
                <c:pt idx="74">
                  <c:v>539.33255785121992</c:v>
                </c:pt>
                <c:pt idx="75">
                  <c:v>552.62415903802309</c:v>
                </c:pt>
                <c:pt idx="76">
                  <c:v>520.45518659727634</c:v>
                </c:pt>
                <c:pt idx="77">
                  <c:v>533.32765337796286</c:v>
                </c:pt>
                <c:pt idx="78">
                  <c:v>546.193586977059</c:v>
                </c:pt>
                <c:pt idx="79">
                  <c:v>559.05316293312762</c:v>
                </c:pt>
                <c:pt idx="80">
                  <c:v>571.90654805285897</c:v>
                </c:pt>
                <c:pt idx="81">
                  <c:v>539.3325578512198</c:v>
                </c:pt>
                <c:pt idx="82">
                  <c:v>551.7668404903385</c:v>
                </c:pt>
                <c:pt idx="83">
                  <c:v>564.19525081895074</c:v>
                </c:pt>
                <c:pt idx="84">
                  <c:v>576.61793639178723</c:v>
                </c:pt>
                <c:pt idx="85">
                  <c:v>589.03503788906914</c:v>
                </c:pt>
                <c:pt idx="86">
                  <c:v>555.62455474096134</c:v>
                </c:pt>
                <c:pt idx="87">
                  <c:v>567.19434879973289</c:v>
                </c:pt>
                <c:pt idx="88">
                  <c:v>578.75921052572812</c:v>
                </c:pt>
                <c:pt idx="89">
                  <c:v>590.3192523477727</c:v>
                </c:pt>
                <c:pt idx="90">
                  <c:v>601.87458193334112</c:v>
                </c:pt>
                <c:pt idx="91">
                  <c:v>567.62276426035044</c:v>
                </c:pt>
                <c:pt idx="92">
                  <c:v>578.33096894357766</c:v>
                </c:pt>
                <c:pt idx="93">
                  <c:v>589.03503788906892</c:v>
                </c:pt>
                <c:pt idx="94">
                  <c:v>599.73505683441078</c:v>
                </c:pt>
                <c:pt idx="95">
                  <c:v>610.43110820893151</c:v>
                </c:pt>
                <c:pt idx="96">
                  <c:v>575.76138030334926</c:v>
                </c:pt>
                <c:pt idx="97">
                  <c:v>586.03831044894537</c:v>
                </c:pt>
                <c:pt idx="98">
                  <c:v>596.31148632519455</c:v>
                </c:pt>
                <c:pt idx="99">
                  <c:v>606.58098171901759</c:v>
                </c:pt>
                <c:pt idx="100">
                  <c:v>616.84686771553959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70" zoomScaleNormal="70" workbookViewId="0">
      <selection activeCell="M24" sqref="M2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11.14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35</v>
      </c>
      <c r="C9" s="35">
        <v>0.7</v>
      </c>
      <c r="D9" s="36">
        <f t="shared" ref="D9:D18" si="0">C9*$C$5</f>
        <v>7.798</v>
      </c>
      <c r="E9" s="37">
        <v>82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164</v>
      </c>
      <c r="C10" s="35">
        <v>0.12</v>
      </c>
      <c r="D10" s="36">
        <f t="shared" si="0"/>
        <v>1.3368</v>
      </c>
      <c r="E10" s="37">
        <v>60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12</v>
      </c>
      <c r="C11" s="35">
        <v>0.18</v>
      </c>
      <c r="D11" s="36">
        <f t="shared" si="0"/>
        <v>2.0051999999999999</v>
      </c>
      <c r="E11" s="37">
        <v>100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11.14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laricio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22</v>
      </c>
      <c r="B36" s="63">
        <v>123</v>
      </c>
      <c r="C36" s="63">
        <v>1</v>
      </c>
      <c r="D36" s="63">
        <v>16</v>
      </c>
      <c r="E36" s="54"/>
      <c r="F36" s="54"/>
      <c r="G36" s="54">
        <v>1</v>
      </c>
      <c r="H36" s="54"/>
      <c r="I36" s="52">
        <f>IFERROR(B36/A36,"")</f>
        <v>5.5909090909090908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25</v>
      </c>
      <c r="B37" s="63">
        <v>144</v>
      </c>
      <c r="C37" s="63">
        <v>2</v>
      </c>
      <c r="D37" s="63">
        <v>17</v>
      </c>
      <c r="E37" s="54">
        <v>0.1</v>
      </c>
      <c r="F37" s="54">
        <v>0.1</v>
      </c>
      <c r="G37" s="54">
        <v>0.8</v>
      </c>
      <c r="H37" s="54"/>
      <c r="I37" s="56">
        <f t="shared" ref="I37:I55" si="1">IF(A37&lt;&gt;0,(B37-(B36-D36))/(A37-A36),"")</f>
        <v>12.333333333333334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194</v>
      </c>
      <c r="C38" s="63">
        <v>3</v>
      </c>
      <c r="D38" s="63">
        <v>34</v>
      </c>
      <c r="E38" s="54">
        <v>0.1</v>
      </c>
      <c r="F38" s="54">
        <v>0.1</v>
      </c>
      <c r="G38" s="54">
        <v>0.8</v>
      </c>
      <c r="H38" s="54"/>
      <c r="I38" s="56">
        <f t="shared" si="1"/>
        <v>13.4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35</v>
      </c>
      <c r="B39" s="63">
        <v>233</v>
      </c>
      <c r="C39" s="63">
        <v>4</v>
      </c>
      <c r="D39" s="63">
        <v>41</v>
      </c>
      <c r="E39" s="54">
        <v>0.6</v>
      </c>
      <c r="F39" s="54">
        <v>0.2</v>
      </c>
      <c r="G39" s="54">
        <v>0.02</v>
      </c>
      <c r="H39" s="54"/>
      <c r="I39" s="52">
        <f t="shared" si="1"/>
        <v>14.6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40</v>
      </c>
      <c r="B40" s="63">
        <v>264</v>
      </c>
      <c r="C40" s="63">
        <v>5</v>
      </c>
      <c r="D40" s="63">
        <v>41</v>
      </c>
      <c r="E40" s="54">
        <v>0.6</v>
      </c>
      <c r="F40" s="54">
        <v>0.2</v>
      </c>
      <c r="G40" s="54">
        <v>0.2</v>
      </c>
      <c r="H40" s="54"/>
      <c r="I40" s="52">
        <f t="shared" si="1"/>
        <v>14.4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45</v>
      </c>
      <c r="B41" s="63">
        <v>318</v>
      </c>
      <c r="C41" s="63">
        <v>6</v>
      </c>
      <c r="D41" s="63">
        <v>53</v>
      </c>
      <c r="E41" s="54">
        <v>0.85</v>
      </c>
      <c r="F41" s="54"/>
      <c r="G41" s="54">
        <v>0.15</v>
      </c>
      <c r="H41" s="54"/>
      <c r="I41" s="56">
        <f t="shared" si="1"/>
        <v>19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50</v>
      </c>
      <c r="B42" s="63">
        <v>352</v>
      </c>
      <c r="C42" s="63">
        <v>7</v>
      </c>
      <c r="D42" s="63">
        <v>53</v>
      </c>
      <c r="E42" s="54">
        <v>0.85</v>
      </c>
      <c r="F42" s="54"/>
      <c r="G42" s="54">
        <v>0.15</v>
      </c>
      <c r="H42" s="54"/>
      <c r="I42" s="56">
        <f t="shared" si="1"/>
        <v>17.399999999999999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58</v>
      </c>
      <c r="B43" s="63">
        <v>440</v>
      </c>
      <c r="C43" s="63">
        <v>8</v>
      </c>
      <c r="D43" s="63">
        <v>78</v>
      </c>
      <c r="E43" s="54">
        <v>0.85</v>
      </c>
      <c r="F43" s="54"/>
      <c r="G43" s="54">
        <v>0.15</v>
      </c>
      <c r="H43" s="54"/>
      <c r="I43" s="52">
        <f t="shared" si="1"/>
        <v>17.625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66</v>
      </c>
      <c r="B44" s="63">
        <v>495</v>
      </c>
      <c r="C44" s="63">
        <v>9</v>
      </c>
      <c r="D44" s="63">
        <v>65</v>
      </c>
      <c r="E44" s="54">
        <v>0.85</v>
      </c>
      <c r="F44" s="54"/>
      <c r="G44" s="54">
        <v>0.15</v>
      </c>
      <c r="H44" s="54"/>
      <c r="I44" s="52">
        <f t="shared" si="1"/>
        <v>16.625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74</v>
      </c>
      <c r="B45" s="63">
        <v>533</v>
      </c>
      <c r="C45" s="63">
        <v>10</v>
      </c>
      <c r="D45" s="63">
        <v>37</v>
      </c>
      <c r="E45" s="54">
        <v>0.85</v>
      </c>
      <c r="F45" s="54"/>
      <c r="G45" s="54">
        <v>0.15</v>
      </c>
      <c r="H45" s="54"/>
      <c r="I45" s="52">
        <f t="shared" si="1"/>
        <v>12.875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82</v>
      </c>
      <c r="B46" s="63">
        <v>567</v>
      </c>
      <c r="C46" s="63">
        <v>11</v>
      </c>
      <c r="D46" s="63">
        <v>567</v>
      </c>
      <c r="E46" s="54">
        <v>0.85</v>
      </c>
      <c r="F46" s="54"/>
      <c r="G46" s="54">
        <v>0.15</v>
      </c>
      <c r="H46" s="54"/>
      <c r="I46" s="52">
        <f t="shared" si="1"/>
        <v>8.875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Cèdre de l'Atlas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20</v>
      </c>
      <c r="B62" s="63">
        <v>158</v>
      </c>
      <c r="C62" s="63">
        <v>1</v>
      </c>
      <c r="D62" s="63">
        <v>39.5</v>
      </c>
      <c r="E62" s="54"/>
      <c r="F62" s="54"/>
      <c r="G62" s="54">
        <v>1</v>
      </c>
      <c r="H62" s="54"/>
      <c r="I62" s="56">
        <f>IFERROR(B62/A62,"")</f>
        <v>7.9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30</v>
      </c>
      <c r="B63" s="63">
        <v>210</v>
      </c>
      <c r="C63" s="63">
        <v>2</v>
      </c>
      <c r="D63" s="63">
        <v>53</v>
      </c>
      <c r="E63" s="54">
        <v>0.1</v>
      </c>
      <c r="F63" s="54">
        <v>0.1</v>
      </c>
      <c r="G63" s="54">
        <v>0.8</v>
      </c>
      <c r="H63" s="54"/>
      <c r="I63" s="52">
        <f>IF(A63&lt;&gt;0,(B63-(B62-D62))/(A63-A62),"")</f>
        <v>9.15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40</v>
      </c>
      <c r="B64" s="63">
        <v>257</v>
      </c>
      <c r="C64" s="63">
        <v>3</v>
      </c>
      <c r="D64" s="63">
        <v>64</v>
      </c>
      <c r="E64" s="54">
        <v>0.65</v>
      </c>
      <c r="F64" s="54">
        <v>0.2</v>
      </c>
      <c r="G64" s="54">
        <v>0.15</v>
      </c>
      <c r="H64" s="54"/>
      <c r="I64" s="52">
        <f>IF(A64&lt;&gt;0,(B64-(B63-D63))/(A64-A63),"")</f>
        <v>10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50</v>
      </c>
      <c r="B65" s="63">
        <v>308</v>
      </c>
      <c r="C65" s="63">
        <v>4</v>
      </c>
      <c r="D65" s="63">
        <v>77</v>
      </c>
      <c r="E65" s="54">
        <v>0.85</v>
      </c>
      <c r="F65" s="54"/>
      <c r="G65" s="54">
        <v>0.15</v>
      </c>
      <c r="H65" s="54"/>
      <c r="I65" s="52">
        <f>IF(A65&lt;&gt;0,(B65-(B64-D64))/(A65-A64),"")</f>
        <v>11.5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60</v>
      </c>
      <c r="B66" s="63">
        <v>366</v>
      </c>
      <c r="C66" s="63">
        <v>5</v>
      </c>
      <c r="D66" s="63">
        <v>366</v>
      </c>
      <c r="E66" s="54">
        <v>0.85</v>
      </c>
      <c r="F66" s="54"/>
      <c r="G66" s="54">
        <v>0.15</v>
      </c>
      <c r="H66" s="54"/>
      <c r="I66" s="52">
        <f t="shared" ref="I66:I81" si="2">IF(A66&lt;&gt;0,(B66-(B65-D65))/(A66-A65),"")</f>
        <v>13.5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pubescent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25</v>
      </c>
      <c r="B88" s="63">
        <v>70</v>
      </c>
      <c r="C88" s="63">
        <v>1</v>
      </c>
      <c r="D88" s="63">
        <v>8</v>
      </c>
      <c r="E88" s="54"/>
      <c r="F88" s="54"/>
      <c r="G88" s="54"/>
      <c r="H88" s="93">
        <v>1</v>
      </c>
      <c r="I88" s="56">
        <f>IFERROR(B88/A88,"")</f>
        <v>2.8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30</v>
      </c>
      <c r="B89" s="63">
        <v>97</v>
      </c>
      <c r="C89" s="63">
        <v>2</v>
      </c>
      <c r="D89" s="63">
        <v>21</v>
      </c>
      <c r="E89" s="54"/>
      <c r="F89" s="54"/>
      <c r="G89" s="54"/>
      <c r="H89" s="93">
        <v>1</v>
      </c>
      <c r="I89" s="56">
        <f t="shared" ref="I89:I107" si="3">IF(A89&lt;&gt;0,(B89-(B88-D88))/(A89-A88),"")</f>
        <v>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35</v>
      </c>
      <c r="B90" s="63">
        <v>116</v>
      </c>
      <c r="C90" s="63">
        <v>3</v>
      </c>
      <c r="D90" s="63">
        <v>21</v>
      </c>
      <c r="E90" s="93"/>
      <c r="F90" s="93"/>
      <c r="G90" s="93"/>
      <c r="H90" s="93">
        <v>1</v>
      </c>
      <c r="I90" s="56">
        <f t="shared" si="3"/>
        <v>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40</v>
      </c>
      <c r="B91" s="63">
        <v>137</v>
      </c>
      <c r="C91" s="63">
        <v>4</v>
      </c>
      <c r="D91" s="63">
        <v>21</v>
      </c>
      <c r="E91" s="93"/>
      <c r="F91" s="93"/>
      <c r="G91" s="93"/>
      <c r="H91" s="93">
        <v>1</v>
      </c>
      <c r="I91" s="56">
        <f t="shared" si="3"/>
        <v>8.4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45</v>
      </c>
      <c r="B92" s="63">
        <v>158</v>
      </c>
      <c r="C92" s="63">
        <v>5</v>
      </c>
      <c r="D92" s="63">
        <v>21</v>
      </c>
      <c r="E92" s="93">
        <v>0.4</v>
      </c>
      <c r="F92" s="93"/>
      <c r="G92" s="93"/>
      <c r="H92" s="93">
        <v>0.6</v>
      </c>
      <c r="I92" s="56">
        <f t="shared" si="3"/>
        <v>8.4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50</v>
      </c>
      <c r="B93" s="63">
        <v>178</v>
      </c>
      <c r="C93" s="63">
        <v>6</v>
      </c>
      <c r="D93" s="63">
        <v>21</v>
      </c>
      <c r="E93" s="93">
        <v>0.4</v>
      </c>
      <c r="F93" s="93"/>
      <c r="G93" s="93"/>
      <c r="H93" s="93">
        <v>0.6</v>
      </c>
      <c r="I93" s="56">
        <f t="shared" si="3"/>
        <v>8.1999999999999993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55</v>
      </c>
      <c r="B94" s="63">
        <v>197</v>
      </c>
      <c r="C94" s="63">
        <v>7</v>
      </c>
      <c r="D94" s="63">
        <v>21</v>
      </c>
      <c r="E94" s="93">
        <v>0.6</v>
      </c>
      <c r="F94" s="93">
        <v>0.4</v>
      </c>
      <c r="G94" s="93"/>
      <c r="H94" s="93"/>
      <c r="I94" s="56">
        <f t="shared" si="3"/>
        <v>8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60</v>
      </c>
      <c r="B95" s="63">
        <v>214</v>
      </c>
      <c r="C95" s="63">
        <v>8</v>
      </c>
      <c r="D95" s="63">
        <v>21</v>
      </c>
      <c r="E95" s="93">
        <v>0.6</v>
      </c>
      <c r="F95" s="93">
        <v>0.4</v>
      </c>
      <c r="G95" s="93"/>
      <c r="H95" s="93"/>
      <c r="I95" s="56">
        <f t="shared" si="3"/>
        <v>7.6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65</v>
      </c>
      <c r="B96" s="63">
        <v>229</v>
      </c>
      <c r="C96" s="63">
        <v>9</v>
      </c>
      <c r="D96" s="63">
        <v>21</v>
      </c>
      <c r="E96" s="93">
        <v>0.65</v>
      </c>
      <c r="F96" s="93">
        <v>0.35</v>
      </c>
      <c r="G96" s="93"/>
      <c r="H96" s="93"/>
      <c r="I96" s="56">
        <f t="shared" si="3"/>
        <v>7.2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>
        <v>70</v>
      </c>
      <c r="B97" s="63">
        <v>242</v>
      </c>
      <c r="C97" s="63">
        <v>10</v>
      </c>
      <c r="D97" s="63">
        <v>21</v>
      </c>
      <c r="E97" s="93">
        <v>0.65</v>
      </c>
      <c r="F97" s="93">
        <v>0.35</v>
      </c>
      <c r="G97" s="93"/>
      <c r="H97" s="93"/>
      <c r="I97" s="56">
        <f t="shared" si="3"/>
        <v>6.8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>
        <v>75</v>
      </c>
      <c r="B98" s="63">
        <v>252</v>
      </c>
      <c r="C98" s="63">
        <v>11</v>
      </c>
      <c r="D98" s="63">
        <v>21</v>
      </c>
      <c r="E98" s="93">
        <v>0.7</v>
      </c>
      <c r="F98" s="93">
        <v>0.3</v>
      </c>
      <c r="G98" s="93"/>
      <c r="H98" s="93"/>
      <c r="I98" s="56">
        <f t="shared" si="3"/>
        <v>6.2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>
        <v>80</v>
      </c>
      <c r="B99" s="63">
        <v>261</v>
      </c>
      <c r="C99" s="63">
        <v>12</v>
      </c>
      <c r="D99" s="63">
        <v>21</v>
      </c>
      <c r="E99" s="93">
        <v>0.7</v>
      </c>
      <c r="F99" s="93">
        <v>0.3</v>
      </c>
      <c r="G99" s="93"/>
      <c r="H99" s="93"/>
      <c r="I99" s="56">
        <f t="shared" si="3"/>
        <v>6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>
        <v>85</v>
      </c>
      <c r="B100" s="63">
        <v>269</v>
      </c>
      <c r="C100" s="63">
        <v>13</v>
      </c>
      <c r="D100" s="63">
        <v>21</v>
      </c>
      <c r="E100" s="68">
        <v>0.75</v>
      </c>
      <c r="F100" s="68">
        <v>0.25</v>
      </c>
      <c r="G100" s="68"/>
      <c r="H100" s="68"/>
      <c r="I100" s="56">
        <f t="shared" si="3"/>
        <v>5.8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>
        <v>90</v>
      </c>
      <c r="B101" s="63">
        <v>275</v>
      </c>
      <c r="C101" s="63">
        <v>14</v>
      </c>
      <c r="D101" s="63">
        <v>21</v>
      </c>
      <c r="E101" s="68">
        <v>0.75</v>
      </c>
      <c r="F101" s="68">
        <v>0.25</v>
      </c>
      <c r="G101" s="68"/>
      <c r="H101" s="68"/>
      <c r="I101" s="56">
        <f t="shared" si="3"/>
        <v>5.4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>
        <v>95</v>
      </c>
      <c r="B102" s="53">
        <v>279</v>
      </c>
      <c r="C102" s="63">
        <v>15</v>
      </c>
      <c r="D102" s="53">
        <v>21</v>
      </c>
      <c r="E102" s="57">
        <v>0.75</v>
      </c>
      <c r="F102" s="57">
        <v>0.25</v>
      </c>
      <c r="G102" s="57"/>
      <c r="H102" s="57"/>
      <c r="I102" s="56">
        <f t="shared" si="3"/>
        <v>5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>
        <v>100</v>
      </c>
      <c r="B103" s="53">
        <v>282</v>
      </c>
      <c r="C103" s="63">
        <v>16</v>
      </c>
      <c r="D103" s="53">
        <v>282</v>
      </c>
      <c r="E103" s="57">
        <v>0.75</v>
      </c>
      <c r="F103" s="57">
        <v>0.25</v>
      </c>
      <c r="G103" s="57"/>
      <c r="H103" s="57"/>
      <c r="I103" s="56">
        <f t="shared" si="3"/>
        <v>4.8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B23" sqref="B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laricio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Cèdre de l'Atlas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Chêne pubescent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394.69391436029986</v>
      </c>
      <c r="T3" s="62">
        <f>IF('Données projet'!E9&gt;30,$R$33-$H$33,LOOKUP('Données projet'!$E$9,$A$3:$A$203,R3:R203)-LOOKUP('Données projet'!$E$9,$A$3:$A$203,$H$3:$H$203))</f>
        <v>311.37245656657353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215.50514301701057</v>
      </c>
      <c r="AO3" s="62">
        <f>IF('Données projet'!E10&gt;30,$AM$33-$H$33,LOOKUP('Données projet'!$E$10,$A$3:$A$203,AM3:AM203)-LOOKUP('Données projet'!$E$10,$A$3:$A$203,$H$3:$H$203))</f>
        <v>273.18950868898253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165</v>
      </c>
      <c r="BI3" s="62">
        <f ca="1">AVERAGE(OFFSET($BH$3,0,0,'Données projet'!$E$11+1,1))-AVERAGE(OFFSET($H$3,0,0,'Données projet'!$E$11+1,1))</f>
        <v>396.06968288200386</v>
      </c>
      <c r="BJ3" s="62">
        <f>IF('Données projet'!E11&gt;30,$BH$33-$H$33,LOOKUP('Données projet'!$E$11,$A$3:$A$203,BH3:BH203)-LOOKUP('Données projet'!$E$11,$A$3:$A$203,$H$3:$H$203))</f>
        <v>273.35778700650792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5.5909090909090908</v>
      </c>
      <c r="N4" s="14">
        <f>IF('Données projet'!$A$36&gt;35,N3+M4-V3,IF(A4&lt;'Données projet'!$A$36,$K$205^A4,IF(A4='Données projet'!$A$36,'Données projet'!$B$36,N3+M4-V3)))</f>
        <v>1.244502252163008</v>
      </c>
      <c r="O4" s="14">
        <f>N4*VLOOKUP('Données projet'!$B$9,Paramètres!$A$1:$I$89,3,0)*VLOOKUP('Données projet'!$B$9,Paramètres!$A$1:$I$89,5,0)</f>
        <v>0.74421234679347892</v>
      </c>
      <c r="P4" s="14">
        <f>EXP(-1.0587+0.8836*LN(O4)+0.284)</f>
        <v>0.3549632728022305</v>
      </c>
      <c r="Q4" s="22">
        <f t="shared" ref="Q4:Q34" si="2">(O4+P4)*0.475*44/12</f>
        <v>1.9143975374625271</v>
      </c>
      <c r="R4" s="62">
        <f t="shared" si="0"/>
        <v>169.72683149038636</v>
      </c>
      <c r="S4" s="62">
        <f ca="1">AVERAGE(OFFSET($R$3,0,0,'Données projet'!$E$9+1,1))-AVERAGE(OFFSET($H$3,0,0,'Données projet'!$E$9+1,1))</f>
        <v>394.69391436029986</v>
      </c>
      <c r="T4" s="62">
        <f>$T$3</f>
        <v>311.37245656657353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7.9</v>
      </c>
      <c r="AI4" s="14">
        <f>IF('Données projet'!$A$62&gt;35,AI3+AH4-AQ3,IF(A4&lt;'Données projet'!$A$62,$AF$205^A4,IF(A4='Données projet'!$A$62,'Données projet'!$B$62,AI3+AH4-AQ3)))</f>
        <v>1.2880503926580862</v>
      </c>
      <c r="AJ4" s="14">
        <f>AI4*VLOOKUP('Données projet'!$B$10,Paramètres!$A$1:$I$89,3,0)*VLOOKUP('Données projet'!$B$10,Paramètres!$A$1:$I$89,5,0)</f>
        <v>0.60280758376398436</v>
      </c>
      <c r="AK4" s="14">
        <f>EXP(-1.0587+0.8836*LN(AJ4)+0.284)</f>
        <v>0.29465781953181042</v>
      </c>
      <c r="AL4" s="22">
        <f t="shared" ref="AL4:AL67" si="4">(AJ4+AK4)*0.475*44/12</f>
        <v>1.5630855774068424</v>
      </c>
      <c r="AM4" s="62">
        <f t="shared" ref="AM4:AM67" si="5">AL4+(AD4+AE4)*44/12</f>
        <v>169.37551953033068</v>
      </c>
      <c r="AN4" s="62">
        <f ca="1">AVERAGE(OFFSET($AM$3,0,0,'Données projet'!$E$10+1,1))-AVERAGE(OFFSET($H$3,0,0,'Données projet'!$E$10+1,1))</f>
        <v>215.50514301701057</v>
      </c>
      <c r="AO4" s="62">
        <f>$AO$3</f>
        <v>273.18950868898253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2.8</v>
      </c>
      <c r="BD4" s="13">
        <f>IF('Données projet'!$A$88&gt;35,BD3+BC4-BL3,IF(A4&lt;'Données projet'!$A$88,$BA$205^A4,IF(A4='Données projet'!$A$88,'Données projet'!$B$88,BD3+BC4-BL3)))</f>
        <v>1.1852335095914694</v>
      </c>
      <c r="BE4" s="14">
        <f>BD4*VLOOKUP('Données projet'!$B$11,Paramètres!$A$1:$I$89,3,0)*VLOOKUP('Données projet'!$B$11,Paramètres!$A$1:$I$89,5,0)</f>
        <v>1.2018267787257499</v>
      </c>
      <c r="BF4" s="14">
        <f>EXP(-1.0587+0.8836*LN(BE4)+0.284)</f>
        <v>0.5421261382842083</v>
      </c>
      <c r="BG4" s="22">
        <f t="shared" ref="BG4:BG67" si="7">(BE4+BF4)*0.475*44/12</f>
        <v>3.0373846637923445</v>
      </c>
      <c r="BH4" s="62">
        <f t="shared" ref="BH4:BH67" si="8">BG4+(AY4+AZ4)*44/12</f>
        <v>170.84981861671619</v>
      </c>
      <c r="BI4" s="62">
        <f ca="1">AVERAGE(OFFSET($BH$3,0,0,'Données projet'!$E$11+1,1))-AVERAGE(OFFSET($H$3,0,0,'Données projet'!$E$11+1,1))</f>
        <v>396.06968288200386</v>
      </c>
      <c r="BJ4" s="62">
        <f>$BJ$3</f>
        <v>273.35778700650792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5.5909090909090908</v>
      </c>
      <c r="N5" s="14">
        <f>IF('Données projet'!$A$36&gt;35,N4+M5-V4,IF(A5&lt;'Données projet'!$A$36,$K$205^A5,IF(A5='Données projet'!$A$36,'Données projet'!$B$36,N4+M5-V4)))</f>
        <v>1.5487858556387992</v>
      </c>
      <c r="O5" s="14">
        <f>N5*VLOOKUP('Données projet'!$B$9,Paramètres!$A$1:$I$89,3,0)*VLOOKUP('Données projet'!$B$9,Paramètres!$A$1:$I$89,5,0)</f>
        <v>0.92617394167200195</v>
      </c>
      <c r="P5" s="14">
        <f t="shared" ref="P5:P68" si="33">EXP(-1.0587+0.8836*LN(O5)+0.284)</f>
        <v>0.43064718121421069</v>
      </c>
      <c r="Q5" s="22">
        <f t="shared" si="2"/>
        <v>2.3631301223601535</v>
      </c>
      <c r="R5" s="62">
        <f t="shared" si="0"/>
        <v>172.960411409861</v>
      </c>
      <c r="S5" s="62">
        <f ca="1">AVERAGE(OFFSET($R$3,0,0,'Données projet'!$E$9+1,1))-AVERAGE(OFFSET($H$3,0,0,'Données projet'!$E$9+1,1))</f>
        <v>394.69391436029986</v>
      </c>
      <c r="T5" s="62">
        <f t="shared" ref="T5:T68" si="34">$T$3</f>
        <v>311.37245656657353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7.9</v>
      </c>
      <c r="AI5" s="14">
        <f>IF('Données projet'!$A$62&gt;35,AI4+AH5-AQ4,IF(A5&lt;'Données projet'!$A$62,$AF$205^A5,IF(A5='Données projet'!$A$62,'Données projet'!$B$62,AI4+AH5-AQ4)))</f>
        <v>1.6590738140266501</v>
      </c>
      <c r="AJ5" s="14">
        <f>AI5*VLOOKUP('Données projet'!$B$10,Paramètres!$A$1:$I$89,3,0)*VLOOKUP('Données projet'!$B$10,Paramètres!$A$1:$I$89,5,0)</f>
        <v>0.77644654496447219</v>
      </c>
      <c r="AK5" s="14">
        <f t="shared" ref="AK5:AK68" si="35">EXP(-1.0587+0.8836*LN(AJ5)+0.284)</f>
        <v>0.36851455096495994</v>
      </c>
      <c r="AL5" s="22">
        <f t="shared" si="4"/>
        <v>1.9941405754104276</v>
      </c>
      <c r="AM5" s="62">
        <f t="shared" si="5"/>
        <v>172.59142186291126</v>
      </c>
      <c r="AN5" s="62">
        <f ca="1">AVERAGE(OFFSET($AM$3,0,0,'Données projet'!$E$10+1,1))-AVERAGE(OFFSET($H$3,0,0,'Données projet'!$E$10+1,1))</f>
        <v>215.50514301701057</v>
      </c>
      <c r="AO5" s="62">
        <f t="shared" ref="AO5:AO68" si="36">$AO$3</f>
        <v>273.18950868898253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2.8</v>
      </c>
      <c r="BD5" s="13">
        <f>IF('Données projet'!$A$88&gt;35,BD4+BC5-BL4,IF(A5&lt;'Données projet'!$A$88,$BA$205^A5,IF(A5='Données projet'!$A$88,'Données projet'!$B$88,BD4+BC5-BL4)))</f>
        <v>1.4047784722585119</v>
      </c>
      <c r="BE5" s="14">
        <f>BD5*VLOOKUP('Données projet'!$B$11,Paramètres!$A$1:$I$89,3,0)*VLOOKUP('Données projet'!$B$11,Paramètres!$A$1:$I$89,5,0)</f>
        <v>1.4244453708701312</v>
      </c>
      <c r="BF5" s="14">
        <f t="shared" ref="BF5:BF68" si="37">EXP(-1.0587+0.8836*LN(BE5)+0.284)</f>
        <v>0.62996075113518346</v>
      </c>
      <c r="BG5" s="22">
        <f t="shared" si="7"/>
        <v>3.5780906624925897</v>
      </c>
      <c r="BH5" s="62">
        <f t="shared" si="8"/>
        <v>174.17537194999343</v>
      </c>
      <c r="BI5" s="62">
        <f ca="1">AVERAGE(OFFSET($BH$3,0,0,'Données projet'!$E$11+1,1))-AVERAGE(OFFSET($H$3,0,0,'Données projet'!$E$11+1,1))</f>
        <v>396.06968288200386</v>
      </c>
      <c r="BJ5" s="62">
        <f t="shared" ref="BJ5:BJ68" si="38">$BJ$3</f>
        <v>273.35778700650792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5.5909090909090908</v>
      </c>
      <c r="N6" s="14">
        <f>IF('Données projet'!$A$36&gt;35,N5+M6-V5,IF(A6&lt;'Données projet'!$A$36,$K$205^A6,IF(A6='Données projet'!$A$36,'Données projet'!$B$36,N5+M6-V5)))</f>
        <v>1.927467485460697</v>
      </c>
      <c r="O6" s="14">
        <f>N6*VLOOKUP('Données projet'!$B$9,Paramètres!$A$1:$I$89,3,0)*VLOOKUP('Données projet'!$B$9,Paramètres!$A$1:$I$89,5,0)</f>
        <v>1.152625556305497</v>
      </c>
      <c r="P6" s="14">
        <f t="shared" si="33"/>
        <v>0.52246812247269758</v>
      </c>
      <c r="Q6" s="22">
        <f t="shared" si="2"/>
        <v>2.9174548238720219</v>
      </c>
      <c r="R6" s="62">
        <f t="shared" si="0"/>
        <v>176.27247539375691</v>
      </c>
      <c r="S6" s="62">
        <f ca="1">AVERAGE(OFFSET($R$3,0,0,'Données projet'!$E$9+1,1))-AVERAGE(OFFSET($H$3,0,0,'Données projet'!$E$9+1,1))</f>
        <v>394.69391436029986</v>
      </c>
      <c r="T6" s="62">
        <f t="shared" si="34"/>
        <v>311.37245656657353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7.9</v>
      </c>
      <c r="AI6" s="14">
        <f>IF('Données projet'!$A$62&gt;35,AI5+AH6-AQ5,IF(A6&lt;'Données projet'!$A$62,$AF$205^A6,IF(A6='Données projet'!$A$62,'Données projet'!$B$62,AI5+AH6-AQ5)))</f>
        <v>2.1369706776057753</v>
      </c>
      <c r="AJ6" s="14">
        <f>AI6*VLOOKUP('Données projet'!$B$10,Paramètres!$A$1:$I$89,3,0)*VLOOKUP('Données projet'!$B$10,Paramètres!$A$1:$I$89,5,0)</f>
        <v>1.0001022771195029</v>
      </c>
      <c r="AK6" s="14">
        <f t="shared" si="35"/>
        <v>0.46088365986243646</v>
      </c>
      <c r="AL6" s="22">
        <f t="shared" si="4"/>
        <v>2.5445505069102112</v>
      </c>
      <c r="AM6" s="62">
        <f t="shared" si="5"/>
        <v>175.8995710767951</v>
      </c>
      <c r="AN6" s="62">
        <f ca="1">AVERAGE(OFFSET($AM$3,0,0,'Données projet'!$E$10+1,1))-AVERAGE(OFFSET($H$3,0,0,'Données projet'!$E$10+1,1))</f>
        <v>215.50514301701057</v>
      </c>
      <c r="AO6" s="62">
        <f t="shared" si="36"/>
        <v>273.18950868898253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2.8</v>
      </c>
      <c r="BD6" s="13">
        <f>IF('Données projet'!$A$88&gt;35,BD5+BC6-BL5,IF(A6&lt;'Données projet'!$A$88,$BA$205^A6,IF(A6='Données projet'!$A$88,'Données projet'!$B$88,BD5+BC6-BL5)))</f>
        <v>1.6649905188734988</v>
      </c>
      <c r="BE6" s="14">
        <f>BD6*VLOOKUP('Données projet'!$B$11,Paramètres!$A$1:$I$89,3,0)*VLOOKUP('Données projet'!$B$11,Paramètres!$A$1:$I$89,5,0)</f>
        <v>1.6883003861377279</v>
      </c>
      <c r="BF6" s="14">
        <f t="shared" si="37"/>
        <v>0.7320262203678447</v>
      </c>
      <c r="BG6" s="22">
        <f t="shared" si="7"/>
        <v>4.215402172997206</v>
      </c>
      <c r="BH6" s="62">
        <f t="shared" si="8"/>
        <v>177.5704227428821</v>
      </c>
      <c r="BI6" s="62">
        <f ca="1">AVERAGE(OFFSET($BH$3,0,0,'Données projet'!$E$11+1,1))-AVERAGE(OFFSET($H$3,0,0,'Données projet'!$E$11+1,1))</f>
        <v>396.06968288200386</v>
      </c>
      <c r="BJ6" s="62">
        <f t="shared" si="38"/>
        <v>273.35778700650792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5.5909090909090908</v>
      </c>
      <c r="N7" s="14">
        <f>IF('Données projet'!$A$36&gt;35,N6+M7-V6,IF(A7&lt;'Données projet'!$A$36,$K$205^A7,IF(A7='Données projet'!$A$36,'Données projet'!$B$36,N6+M7-V6)))</f>
        <v>2.3987376266268075</v>
      </c>
      <c r="O7" s="14">
        <f>N7*VLOOKUP('Données projet'!$B$9,Paramètres!$A$1:$I$89,3,0)*VLOOKUP('Données projet'!$B$9,Paramètres!$A$1:$I$89,5,0)</f>
        <v>1.4344451007228309</v>
      </c>
      <c r="P7" s="14">
        <f t="shared" si="33"/>
        <v>0.63386677286612625</v>
      </c>
      <c r="Q7" s="22">
        <f t="shared" si="2"/>
        <v>3.6023098465007668</v>
      </c>
      <c r="R7" s="62">
        <f t="shared" si="0"/>
        <v>179.68843191067771</v>
      </c>
      <c r="S7" s="62">
        <f ca="1">AVERAGE(OFFSET($R$3,0,0,'Données projet'!$E$9+1,1))-AVERAGE(OFFSET($H$3,0,0,'Données projet'!$E$9+1,1))</f>
        <v>394.69391436029986</v>
      </c>
      <c r="T7" s="62">
        <f t="shared" si="34"/>
        <v>311.37245656657353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7.9</v>
      </c>
      <c r="AI7" s="14">
        <f>IF('Données projet'!$A$62&gt;35,AI6+AH7-AQ6,IF(A7&lt;'Données projet'!$A$62,$AF$205^A7,IF(A7='Données projet'!$A$62,'Données projet'!$B$62,AI6+AH7-AQ6)))</f>
        <v>2.7525259203889356</v>
      </c>
      <c r="AJ7" s="14">
        <f>AI7*VLOOKUP('Données projet'!$B$10,Paramètres!$A$1:$I$89,3,0)*VLOOKUP('Données projet'!$B$10,Paramètres!$A$1:$I$89,5,0)</f>
        <v>1.2881821307420218</v>
      </c>
      <c r="AK7" s="14">
        <f t="shared" si="35"/>
        <v>0.57640532069082717</v>
      </c>
      <c r="AL7" s="22">
        <f t="shared" si="4"/>
        <v>3.2474898112455457</v>
      </c>
      <c r="AM7" s="62">
        <f t="shared" si="5"/>
        <v>179.33361187542249</v>
      </c>
      <c r="AN7" s="62">
        <f ca="1">AVERAGE(OFFSET($AM$3,0,0,'Données projet'!$E$10+1,1))-AVERAGE(OFFSET($H$3,0,0,'Données projet'!$E$10+1,1))</f>
        <v>215.50514301701057</v>
      </c>
      <c r="AO7" s="62">
        <f t="shared" si="36"/>
        <v>273.18950868898253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2.8</v>
      </c>
      <c r="BD7" s="13">
        <f>IF('Données projet'!$A$88&gt;35,BD6+BC7-BL6,IF(A7&lt;'Données projet'!$A$88,$BA$205^A7,IF(A7='Données projet'!$A$88,'Données projet'!$B$88,BD6+BC7-BL6)))</f>
        <v>1.9734025561209587</v>
      </c>
      <c r="BE7" s="14">
        <f>BD7*VLOOKUP('Données projet'!$B$11,Paramètres!$A$1:$I$89,3,0)*VLOOKUP('Données projet'!$B$11,Paramètres!$A$1:$I$89,5,0)</f>
        <v>2.001030191906652</v>
      </c>
      <c r="BF7" s="14">
        <f t="shared" si="37"/>
        <v>0.85062821190115911</v>
      </c>
      <c r="BG7" s="22">
        <f t="shared" si="7"/>
        <v>4.9666383866319377</v>
      </c>
      <c r="BH7" s="62">
        <f t="shared" si="8"/>
        <v>181.05276045080888</v>
      </c>
      <c r="BI7" s="62">
        <f ca="1">AVERAGE(OFFSET($BH$3,0,0,'Données projet'!$E$11+1,1))-AVERAGE(OFFSET($H$3,0,0,'Données projet'!$E$11+1,1))</f>
        <v>396.06968288200386</v>
      </c>
      <c r="BJ7" s="62">
        <f t="shared" si="38"/>
        <v>273.35778700650792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5.5909090909090908</v>
      </c>
      <c r="N8" s="14">
        <f>IF('Données projet'!$A$36&gt;35,N7+M8-V7,IF(A8&lt;'Données projet'!$A$36,$K$205^A8,IF(A8='Données projet'!$A$36,'Données projet'!$B$36,N7+M8-V7)))</f>
        <v>2.9852343786852105</v>
      </c>
      <c r="O8" s="14">
        <f>N8*VLOOKUP('Données projet'!$B$9,Paramètres!$A$1:$I$89,3,0)*VLOOKUP('Données projet'!$B$9,Paramètres!$A$1:$I$89,5,0)</f>
        <v>1.785170158453756</v>
      </c>
      <c r="P8" s="14">
        <f t="shared" si="33"/>
        <v>0.7690174164926461</v>
      </c>
      <c r="Q8" s="22">
        <f t="shared" si="2"/>
        <v>4.4485433596983173</v>
      </c>
      <c r="R8" s="62">
        <f t="shared" si="0"/>
        <v>183.23959123614566</v>
      </c>
      <c r="S8" s="62">
        <f ca="1">AVERAGE(OFFSET($R$3,0,0,'Données projet'!$E$9+1,1))-AVERAGE(OFFSET($H$3,0,0,'Données projet'!$E$9+1,1))</f>
        <v>394.69391436029986</v>
      </c>
      <c r="T8" s="62">
        <f t="shared" si="34"/>
        <v>311.37245656657353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7.9</v>
      </c>
      <c r="AI8" s="14">
        <f>IF('Données projet'!$A$62&gt;35,AI7+AH8-AQ7,IF(A8&lt;'Données projet'!$A$62,$AF$205^A8,IF(A8='Données projet'!$A$62,'Données projet'!$B$62,AI7+AH8-AQ7)))</f>
        <v>3.5453920925585285</v>
      </c>
      <c r="AJ8" s="14">
        <f>AI8*VLOOKUP('Données projet'!$B$10,Paramètres!$A$1:$I$89,3,0)*VLOOKUP('Données projet'!$B$10,Paramètres!$A$1:$I$89,5,0)</f>
        <v>1.6592434993173915</v>
      </c>
      <c r="AK8" s="14">
        <f t="shared" si="35"/>
        <v>0.72088277944126433</v>
      </c>
      <c r="AL8" s="22">
        <f t="shared" si="4"/>
        <v>4.1453866021713255</v>
      </c>
      <c r="AM8" s="62">
        <f t="shared" si="5"/>
        <v>182.93643447861868</v>
      </c>
      <c r="AN8" s="62">
        <f ca="1">AVERAGE(OFFSET($AM$3,0,0,'Données projet'!$E$10+1,1))-AVERAGE(OFFSET($H$3,0,0,'Données projet'!$E$10+1,1))</f>
        <v>215.50514301701057</v>
      </c>
      <c r="AO8" s="62">
        <f t="shared" si="36"/>
        <v>273.18950868898253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2.8</v>
      </c>
      <c r="BD8" s="13">
        <f>IF('Données projet'!$A$88&gt;35,BD7+BC8-BL7,IF(A8&lt;'Données projet'!$A$88,$BA$205^A8,IF(A8='Données projet'!$A$88,'Données projet'!$B$88,BD7+BC8-BL7)))</f>
        <v>2.3389428374280206</v>
      </c>
      <c r="BE8" s="14">
        <f>BD8*VLOOKUP('Données projet'!$B$11,Paramètres!$A$1:$I$89,3,0)*VLOOKUP('Données projet'!$B$11,Paramètres!$A$1:$I$89,5,0)</f>
        <v>2.3716880371520133</v>
      </c>
      <c r="BF8" s="14">
        <f t="shared" si="37"/>
        <v>0.98844595282197545</v>
      </c>
      <c r="BG8" s="22">
        <f t="shared" si="7"/>
        <v>5.8522333658713634</v>
      </c>
      <c r="BH8" s="62">
        <f t="shared" si="8"/>
        <v>184.64328124231872</v>
      </c>
      <c r="BI8" s="62">
        <f ca="1">AVERAGE(OFFSET($BH$3,0,0,'Données projet'!$E$11+1,1))-AVERAGE(OFFSET($H$3,0,0,'Données projet'!$E$11+1,1))</f>
        <v>396.06968288200386</v>
      </c>
      <c r="BJ8" s="62">
        <f t="shared" si="38"/>
        <v>273.35778700650792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5.5909090909090908</v>
      </c>
      <c r="N9" s="14">
        <f>IF('Données projet'!$A$36&gt;35,N8+M9-V8,IF(A9&lt;'Données projet'!$A$36,$K$205^A9,IF(A9='Données projet'!$A$36,'Données projet'!$B$36,N8+M9-V8)))</f>
        <v>3.7151309075081826</v>
      </c>
      <c r="O9" s="14">
        <f>N9*VLOOKUP('Données projet'!$B$9,Paramètres!$A$1:$I$89,3,0)*VLOOKUP('Données projet'!$B$9,Paramètres!$A$1:$I$89,5,0)</f>
        <v>2.2216482826898933</v>
      </c>
      <c r="P9" s="14">
        <f t="shared" si="33"/>
        <v>0.93298436230530435</v>
      </c>
      <c r="Q9" s="22">
        <f t="shared" si="2"/>
        <v>5.4943185233666361</v>
      </c>
      <c r="R9" s="62">
        <f t="shared" si="0"/>
        <v>186.96457061962562</v>
      </c>
      <c r="S9" s="62">
        <f ca="1">AVERAGE(OFFSET($R$3,0,0,'Données projet'!$E$9+1,1))-AVERAGE(OFFSET($H$3,0,0,'Données projet'!$E$9+1,1))</f>
        <v>394.69391436029986</v>
      </c>
      <c r="T9" s="62">
        <f t="shared" si="34"/>
        <v>311.37245656657353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7.9</v>
      </c>
      <c r="AI9" s="14">
        <f>IF('Données projet'!$A$62&gt;35,AI8+AH9-AQ8,IF(A9&lt;'Données projet'!$A$62,$AF$205^A9,IF(A9='Données projet'!$A$62,'Données projet'!$B$62,AI8+AH9-AQ8)))</f>
        <v>4.566643676946887</v>
      </c>
      <c r="AJ9" s="14">
        <f>AI9*VLOOKUP('Données projet'!$B$10,Paramètres!$A$1:$I$89,3,0)*VLOOKUP('Données projet'!$B$10,Paramètres!$A$1:$I$89,5,0)</f>
        <v>2.1371892408111433</v>
      </c>
      <c r="AK9" s="14">
        <f t="shared" si="35"/>
        <v>0.9015738804633705</v>
      </c>
      <c r="AL9" s="22">
        <f t="shared" si="4"/>
        <v>5.292512436219778</v>
      </c>
      <c r="AM9" s="62">
        <f t="shared" si="5"/>
        <v>186.76276453247874</v>
      </c>
      <c r="AN9" s="62">
        <f ca="1">AVERAGE(OFFSET($AM$3,0,0,'Données projet'!$E$10+1,1))-AVERAGE(OFFSET($H$3,0,0,'Données projet'!$E$10+1,1))</f>
        <v>215.50514301701057</v>
      </c>
      <c r="AO9" s="62">
        <f t="shared" si="36"/>
        <v>273.18950868898253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2.8</v>
      </c>
      <c r="BD9" s="13">
        <f>IF('Données projet'!$A$88&gt;35,BD8+BC9-BL8,IF(A9&lt;'Données projet'!$A$88,$BA$205^A9,IF(A9='Données projet'!$A$88,'Données projet'!$B$88,BD8+BC9-BL8)))</f>
        <v>2.7721934279386429</v>
      </c>
      <c r="BE9" s="14">
        <f>BD9*VLOOKUP('Données projet'!$B$11,Paramètres!$A$1:$I$89,3,0)*VLOOKUP('Données projet'!$B$11,Paramètres!$A$1:$I$89,5,0)</f>
        <v>2.8110041359297839</v>
      </c>
      <c r="BF9" s="14">
        <f t="shared" si="37"/>
        <v>1.1485927553078508</v>
      </c>
      <c r="BG9" s="22">
        <f t="shared" si="7"/>
        <v>6.8962979189055469</v>
      </c>
      <c r="BH9" s="62">
        <f t="shared" si="8"/>
        <v>188.36655001516453</v>
      </c>
      <c r="BI9" s="62">
        <f ca="1">AVERAGE(OFFSET($BH$3,0,0,'Données projet'!$E$11+1,1))-AVERAGE(OFFSET($H$3,0,0,'Données projet'!$E$11+1,1))</f>
        <v>396.06968288200386</v>
      </c>
      <c r="BJ9" s="62">
        <f t="shared" si="38"/>
        <v>273.35778700650792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5.5909090909090908</v>
      </c>
      <c r="N10" s="14">
        <f>IF('Données projet'!$A$36&gt;35,N9+M10-V9,IF(A10&lt;'Données projet'!$A$36,$K$205^A10,IF(A10='Données projet'!$A$36,'Données projet'!$B$36,N9+M10-V9)))</f>
        <v>4.6234887814743333</v>
      </c>
      <c r="O10" s="14">
        <f>N10*VLOOKUP('Données projet'!$B$9,Paramètres!$A$1:$I$89,3,0)*VLOOKUP('Données projet'!$B$9,Paramètres!$A$1:$I$89,5,0)</f>
        <v>2.7648462913216516</v>
      </c>
      <c r="P10" s="14">
        <f t="shared" si="33"/>
        <v>1.1319117118000401</v>
      </c>
      <c r="Q10" s="22">
        <f t="shared" si="2"/>
        <v>6.7868535221036126</v>
      </c>
      <c r="R10" s="62">
        <f t="shared" si="0"/>
        <v>190.91103445783983</v>
      </c>
      <c r="S10" s="62">
        <f ca="1">AVERAGE(OFFSET($R$3,0,0,'Données projet'!$E$9+1,1))-AVERAGE(OFFSET($H$3,0,0,'Données projet'!$E$9+1,1))</f>
        <v>394.69391436029986</v>
      </c>
      <c r="T10" s="62">
        <f t="shared" si="34"/>
        <v>311.37245656657353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7.9</v>
      </c>
      <c r="AI10" s="14">
        <f>IF('Données projet'!$A$62&gt;35,AI9+AH10-AQ9,IF(A10&lt;'Données projet'!$A$62,$AF$205^A10,IF(A10='Données projet'!$A$62,'Données projet'!$B$62,AI9+AH10-AQ9)))</f>
        <v>5.8820671812210037</v>
      </c>
      <c r="AJ10" s="14">
        <f>AI10*VLOOKUP('Données projet'!$B$10,Paramètres!$A$1:$I$89,3,0)*VLOOKUP('Données projet'!$B$10,Paramètres!$A$1:$I$89,5,0)</f>
        <v>2.7528074408114294</v>
      </c>
      <c r="AK10" s="14">
        <f t="shared" si="35"/>
        <v>1.1275556652411438</v>
      </c>
      <c r="AL10" s="22">
        <f t="shared" si="4"/>
        <v>6.7582990763748976</v>
      </c>
      <c r="AM10" s="62">
        <f t="shared" si="5"/>
        <v>190.88248001211113</v>
      </c>
      <c r="AN10" s="62">
        <f ca="1">AVERAGE(OFFSET($AM$3,0,0,'Données projet'!$E$10+1,1))-AVERAGE(OFFSET($H$3,0,0,'Données projet'!$E$10+1,1))</f>
        <v>215.50514301701057</v>
      </c>
      <c r="AO10" s="62">
        <f t="shared" si="36"/>
        <v>273.18950868898253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2.8</v>
      </c>
      <c r="BD10" s="13">
        <f>IF('Données projet'!$A$88&gt;35,BD9+BC10-BL9,IF(A10&lt;'Données projet'!$A$88,$BA$205^A10,IF(A10='Données projet'!$A$88,'Données projet'!$B$88,BD9+BC10-BL9)))</f>
        <v>3.2856965458621241</v>
      </c>
      <c r="BE10" s="14">
        <f>BD10*VLOOKUP('Données projet'!$B$11,Paramètres!$A$1:$I$89,3,0)*VLOOKUP('Données projet'!$B$11,Paramètres!$A$1:$I$89,5,0)</f>
        <v>3.3316962975041937</v>
      </c>
      <c r="BF10" s="14">
        <f t="shared" si="37"/>
        <v>1.3346863465617191</v>
      </c>
      <c r="BG10" s="22">
        <f t="shared" si="7"/>
        <v>8.1272831050814656</v>
      </c>
      <c r="BH10" s="62">
        <f t="shared" si="8"/>
        <v>192.25146404081769</v>
      </c>
      <c r="BI10" s="62">
        <f ca="1">AVERAGE(OFFSET($BH$3,0,0,'Données projet'!$E$11+1,1))-AVERAGE(OFFSET($H$3,0,0,'Données projet'!$E$11+1,1))</f>
        <v>396.06968288200386</v>
      </c>
      <c r="BJ10" s="62">
        <f t="shared" si="38"/>
        <v>273.35778700650792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5.5909090909090908</v>
      </c>
      <c r="N11" s="14">
        <f>IF('Données projet'!$A$36&gt;35,N10+M11-V10,IF(A11&lt;'Données projet'!$A$36,$K$205^A11,IF(A11='Données projet'!$A$36,'Données projet'!$B$36,N10+M11-V10)))</f>
        <v>5.7539422013952093</v>
      </c>
      <c r="O11" s="14">
        <f>N11*VLOOKUP('Données projet'!$B$9,Paramètres!$A$1:$I$89,3,0)*VLOOKUP('Données projet'!$B$9,Paramètres!$A$1:$I$89,5,0)</f>
        <v>3.4408574364343356</v>
      </c>
      <c r="P11" s="14">
        <f t="shared" si="33"/>
        <v>1.3732535882427113</v>
      </c>
      <c r="Q11" s="22">
        <f t="shared" si="2"/>
        <v>8.3845767013125236</v>
      </c>
      <c r="R11" s="62">
        <f t="shared" si="0"/>
        <v>195.13784956753307</v>
      </c>
      <c r="S11" s="62">
        <f ca="1">AVERAGE(OFFSET($R$3,0,0,'Données projet'!$E$9+1,1))-AVERAGE(OFFSET($H$3,0,0,'Données projet'!$E$9+1,1))</f>
        <v>394.69391436029986</v>
      </c>
      <c r="T11" s="62">
        <f t="shared" si="34"/>
        <v>311.37245656657353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7.9</v>
      </c>
      <c r="AI11" s="14">
        <f>IF('Données projet'!$A$62&gt;35,AI10+AH11-AQ10,IF(A11&lt;'Données projet'!$A$62,$AF$205^A11,IF(A11='Données projet'!$A$62,'Données projet'!$B$62,AI10+AH11-AQ10)))</f>
        <v>7.5763989424129567</v>
      </c>
      <c r="AJ11" s="14">
        <f>AI11*VLOOKUP('Données projet'!$B$10,Paramètres!$A$1:$I$89,3,0)*VLOOKUP('Données projet'!$B$10,Paramètres!$A$1:$I$89,5,0)</f>
        <v>3.5457547050492639</v>
      </c>
      <c r="AK11" s="14">
        <f t="shared" si="35"/>
        <v>1.4101803587787649</v>
      </c>
      <c r="AL11" s="22">
        <f t="shared" si="4"/>
        <v>8.631586902833817</v>
      </c>
      <c r="AM11" s="62">
        <f t="shared" si="5"/>
        <v>195.38485976905437</v>
      </c>
      <c r="AN11" s="62">
        <f ca="1">AVERAGE(OFFSET($AM$3,0,0,'Données projet'!$E$10+1,1))-AVERAGE(OFFSET($H$3,0,0,'Données projet'!$E$10+1,1))</f>
        <v>215.50514301701057</v>
      </c>
      <c r="AO11" s="62">
        <f t="shared" si="36"/>
        <v>273.18950868898253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2.8</v>
      </c>
      <c r="BD11" s="13">
        <f>IF('Données projet'!$A$88&gt;35,BD10+BC11-BL10,IF(A11&lt;'Données projet'!$A$88,$BA$205^A11,IF(A11='Données projet'!$A$88,'Données projet'!$B$88,BD10+BC11-BL10)))</f>
        <v>3.8943176485047335</v>
      </c>
      <c r="BE11" s="14">
        <f>BD11*VLOOKUP('Données projet'!$B$11,Paramètres!$A$1:$I$89,3,0)*VLOOKUP('Données projet'!$B$11,Paramètres!$A$1:$I$89,5,0)</f>
        <v>3.9488380955837998</v>
      </c>
      <c r="BF11" s="14">
        <f t="shared" si="37"/>
        <v>1.5509305935164246</v>
      </c>
      <c r="BG11" s="22">
        <f t="shared" si="7"/>
        <v>9.578763800182891</v>
      </c>
      <c r="BH11" s="62">
        <f t="shared" si="8"/>
        <v>196.33203666640344</v>
      </c>
      <c r="BI11" s="62">
        <f ca="1">AVERAGE(OFFSET($BH$3,0,0,'Données projet'!$E$11+1,1))-AVERAGE(OFFSET($H$3,0,0,'Données projet'!$E$11+1,1))</f>
        <v>396.06968288200386</v>
      </c>
      <c r="BJ11" s="62">
        <f t="shared" si="38"/>
        <v>273.35778700650792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5.5909090909090908</v>
      </c>
      <c r="N12" s="14">
        <f>IF('Données projet'!$A$36&gt;35,N11+M12-V11,IF(A12&lt;'Données projet'!$A$36,$K$205^A12,IF(A12='Données projet'!$A$36,'Données projet'!$B$36,N11+M12-V11)))</f>
        <v>7.1607940284521145</v>
      </c>
      <c r="O12" s="14">
        <f>N12*VLOOKUP('Données projet'!$B$9,Paramètres!$A$1:$I$89,3,0)*VLOOKUP('Données projet'!$B$9,Paramètres!$A$1:$I$89,5,0)</f>
        <v>4.2821548290143649</v>
      </c>
      <c r="P12" s="14">
        <f t="shared" si="33"/>
        <v>1.6660534544894132</v>
      </c>
      <c r="Q12" s="22">
        <f t="shared" si="2"/>
        <v>10.359796093769079</v>
      </c>
      <c r="R12" s="62">
        <f t="shared" si="0"/>
        <v>199.71775484632516</v>
      </c>
      <c r="S12" s="62">
        <f ca="1">AVERAGE(OFFSET($R$3,0,0,'Données projet'!$E$9+1,1))-AVERAGE(OFFSET($H$3,0,0,'Données projet'!$E$9+1,1))</f>
        <v>394.69391436029986</v>
      </c>
      <c r="T12" s="62">
        <f t="shared" si="34"/>
        <v>311.37245656657353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7.9</v>
      </c>
      <c r="AI12" s="14">
        <f>IF('Données projet'!$A$62&gt;35,AI11+AH12-AQ11,IF(A12&lt;'Données projet'!$A$62,$AF$205^A12,IF(A12='Données projet'!$A$62,'Données projet'!$B$62,AI11+AH12-AQ11)))</f>
        <v>9.7587836327093171</v>
      </c>
      <c r="AJ12" s="14">
        <f>AI12*VLOOKUP('Données projet'!$B$10,Paramètres!$A$1:$I$89,3,0)*VLOOKUP('Données projet'!$B$10,Paramètres!$A$1:$I$89,5,0)</f>
        <v>4.5671107401079603</v>
      </c>
      <c r="AK12" s="14">
        <f t="shared" si="35"/>
        <v>1.763645650133036</v>
      </c>
      <c r="AL12" s="22">
        <f t="shared" si="4"/>
        <v>11.026067379669733</v>
      </c>
      <c r="AM12" s="62">
        <f t="shared" si="5"/>
        <v>200.38402613222581</v>
      </c>
      <c r="AN12" s="62">
        <f ca="1">AVERAGE(OFFSET($AM$3,0,0,'Données projet'!$E$10+1,1))-AVERAGE(OFFSET($H$3,0,0,'Données projet'!$E$10+1,1))</f>
        <v>215.50514301701057</v>
      </c>
      <c r="AO12" s="62">
        <f t="shared" si="36"/>
        <v>273.18950868898253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2.8</v>
      </c>
      <c r="BD12" s="13">
        <f>IF('Données projet'!$A$88&gt;35,BD11+BC12-BL11,IF(A12&lt;'Données projet'!$A$88,$BA$205^A12,IF(A12='Données projet'!$A$88,'Données projet'!$B$88,BD11+BC12-BL11)))</f>
        <v>4.6156757740012635</v>
      </c>
      <c r="BE12" s="14">
        <f>BD12*VLOOKUP('Données projet'!$B$11,Paramètres!$A$1:$I$89,3,0)*VLOOKUP('Données projet'!$B$11,Paramètres!$A$1:$I$89,5,0)</f>
        <v>4.6802952348372813</v>
      </c>
      <c r="BF12" s="14">
        <f t="shared" si="37"/>
        <v>1.8022104684757689</v>
      </c>
      <c r="BG12" s="22">
        <f t="shared" si="7"/>
        <v>11.290364099936896</v>
      </c>
      <c r="BH12" s="62">
        <f t="shared" si="8"/>
        <v>200.64832285249298</v>
      </c>
      <c r="BI12" s="62">
        <f ca="1">AVERAGE(OFFSET($BH$3,0,0,'Données projet'!$E$11+1,1))-AVERAGE(OFFSET($H$3,0,0,'Données projet'!$E$11+1,1))</f>
        <v>396.06968288200386</v>
      </c>
      <c r="BJ12" s="62">
        <f t="shared" si="38"/>
        <v>273.35778700650792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5.5909090909090908</v>
      </c>
      <c r="N13" s="14">
        <f>IF('Données projet'!$A$36&gt;35,N12+M13-V12,IF(A13&lt;'Données projet'!$A$36,$K$205^A13,IF(A13='Données projet'!$A$36,'Données projet'!$B$36,N12+M13-V12)))</f>
        <v>8.9116242956840761</v>
      </c>
      <c r="O13" s="14">
        <f>N13*VLOOKUP('Données projet'!$B$9,Paramètres!$A$1:$I$89,3,0)*VLOOKUP('Données projet'!$B$9,Paramètres!$A$1:$I$89,5,0)</f>
        <v>5.3291513288190782</v>
      </c>
      <c r="P13" s="14">
        <f t="shared" si="33"/>
        <v>2.0212829858817885</v>
      </c>
      <c r="Q13" s="22">
        <f t="shared" si="2"/>
        <v>12.802006431437341</v>
      </c>
      <c r="R13" s="62">
        <f t="shared" si="0"/>
        <v>204.74066841648224</v>
      </c>
      <c r="S13" s="62">
        <f ca="1">AVERAGE(OFFSET($R$3,0,0,'Données projet'!$E$9+1,1))-AVERAGE(OFFSET($H$3,0,0,'Données projet'!$E$9+1,1))</f>
        <v>394.69391436029986</v>
      </c>
      <c r="T13" s="62">
        <f t="shared" si="34"/>
        <v>311.37245656657353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7.9</v>
      </c>
      <c r="AI13" s="14">
        <f>IF('Données projet'!$A$62&gt;35,AI12+AH13-AQ12,IF(A13&lt;'Données projet'!$A$62,$AF$205^A13,IF(A13='Données projet'!$A$62,'Données projet'!$B$62,AI12+AH13-AQ12)))</f>
        <v>12.569805089976542</v>
      </c>
      <c r="AJ13" s="14">
        <f>AI13*VLOOKUP('Données projet'!$B$10,Paramètres!$A$1:$I$89,3,0)*VLOOKUP('Données projet'!$B$10,Paramètres!$A$1:$I$89,5,0)</f>
        <v>5.8826687821090227</v>
      </c>
      <c r="AK13" s="14">
        <f t="shared" si="35"/>
        <v>2.2057079152108381</v>
      </c>
      <c r="AL13" s="22">
        <f t="shared" si="4"/>
        <v>14.087256081165423</v>
      </c>
      <c r="AM13" s="62">
        <f t="shared" si="5"/>
        <v>206.02591806621032</v>
      </c>
      <c r="AN13" s="62">
        <f ca="1">AVERAGE(OFFSET($AM$3,0,0,'Données projet'!$E$10+1,1))-AVERAGE(OFFSET($H$3,0,0,'Données projet'!$E$10+1,1))</f>
        <v>215.50514301701057</v>
      </c>
      <c r="AO13" s="62">
        <f t="shared" si="36"/>
        <v>273.18950868898253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2.8</v>
      </c>
      <c r="BD13" s="13">
        <f>IF('Données projet'!$A$88&gt;35,BD12+BC13-BL12,IF(A13&lt;'Données projet'!$A$88,$BA$205^A13,IF(A13='Données projet'!$A$88,'Données projet'!$B$88,BD12+BC13-BL12)))</f>
        <v>5.4706535967558398</v>
      </c>
      <c r="BE13" s="14">
        <f>BD13*VLOOKUP('Données projet'!$B$11,Paramètres!$A$1:$I$89,3,0)*VLOOKUP('Données projet'!$B$11,Paramètres!$A$1:$I$89,5,0)</f>
        <v>5.5472427471104222</v>
      </c>
      <c r="BF13" s="14">
        <f t="shared" si="37"/>
        <v>2.0942024009724034</v>
      </c>
      <c r="BG13" s="22">
        <f t="shared" si="7"/>
        <v>13.308850299577585</v>
      </c>
      <c r="BH13" s="62">
        <f t="shared" si="8"/>
        <v>205.24751228462247</v>
      </c>
      <c r="BI13" s="62">
        <f ca="1">AVERAGE(OFFSET($BH$3,0,0,'Données projet'!$E$11+1,1))-AVERAGE(OFFSET($H$3,0,0,'Données projet'!$E$11+1,1))</f>
        <v>396.06968288200386</v>
      </c>
      <c r="BJ13" s="62">
        <f t="shared" si="38"/>
        <v>273.35778700650792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5.5909090909090908</v>
      </c>
      <c r="N14" s="14">
        <f>IF('Données projet'!$A$36&gt;35,N13+M14-V13,IF(A14&lt;'Données projet'!$A$36,$K$205^A14,IF(A14='Données projet'!$A$36,'Données projet'!$B$36,N13+M14-V13)))</f>
        <v>11.090536506409412</v>
      </c>
      <c r="O14" s="14">
        <f>N14*VLOOKUP('Données projet'!$B$9,Paramètres!$A$1:$I$89,3,0)*VLOOKUP('Données projet'!$B$9,Paramètres!$A$1:$I$89,5,0)</f>
        <v>6.6321408308328289</v>
      </c>
      <c r="P14" s="14">
        <f t="shared" si="33"/>
        <v>2.4522531963221348</v>
      </c>
      <c r="Q14" s="22">
        <f t="shared" si="2"/>
        <v>15.821986263961561</v>
      </c>
      <c r="R14" s="62">
        <f t="shared" si="0"/>
        <v>210.31778487307568</v>
      </c>
      <c r="S14" s="62">
        <f ca="1">AVERAGE(OFFSET($R$3,0,0,'Données projet'!$E$9+1,1))-AVERAGE(OFFSET($H$3,0,0,'Données projet'!$E$9+1,1))</f>
        <v>394.69391436029986</v>
      </c>
      <c r="T14" s="62">
        <f t="shared" si="34"/>
        <v>311.37245656657353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7.9</v>
      </c>
      <c r="AI14" s="14">
        <f>IF('Données projet'!$A$62&gt;35,AI13+AH14-AQ13,IF(A14&lt;'Données projet'!$A$62,$AF$205^A14,IF(A14='Données projet'!$A$62,'Données projet'!$B$62,AI13+AH14-AQ13)))</f>
        <v>16.190542381779895</v>
      </c>
      <c r="AJ14" s="14">
        <f>AI14*VLOOKUP('Données projet'!$B$10,Paramètres!$A$1:$I$89,3,0)*VLOOKUP('Données projet'!$B$10,Paramètres!$A$1:$I$89,5,0)</f>
        <v>7.5771738346729904</v>
      </c>
      <c r="AK14" s="14">
        <f t="shared" si="35"/>
        <v>2.7585742106736397</v>
      </c>
      <c r="AL14" s="22">
        <f t="shared" si="4"/>
        <v>18.001427845645381</v>
      </c>
      <c r="AM14" s="62">
        <f t="shared" si="5"/>
        <v>212.49722645475953</v>
      </c>
      <c r="AN14" s="62">
        <f ca="1">AVERAGE(OFFSET($AM$3,0,0,'Données projet'!$E$10+1,1))-AVERAGE(OFFSET($H$3,0,0,'Données projet'!$E$10+1,1))</f>
        <v>215.50514301701057</v>
      </c>
      <c r="AO14" s="62">
        <f t="shared" si="36"/>
        <v>273.18950868898253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2.8</v>
      </c>
      <c r="BD14" s="13">
        <f>IF('Données projet'!$A$88&gt;35,BD13+BC14-BL13,IF(A14&lt;'Données projet'!$A$88,$BA$205^A14,IF(A14='Données projet'!$A$88,'Données projet'!$B$88,BD13+BC14-BL13)))</f>
        <v>6.4840019622421199</v>
      </c>
      <c r="BE14" s="14">
        <f>BD14*VLOOKUP('Données projet'!$B$11,Paramètres!$A$1:$I$89,3,0)*VLOOKUP('Données projet'!$B$11,Paramètres!$A$1:$I$89,5,0)</f>
        <v>6.5747779897135095</v>
      </c>
      <c r="BF14" s="14">
        <f t="shared" si="37"/>
        <v>2.4335025086985533</v>
      </c>
      <c r="BG14" s="22">
        <f t="shared" si="7"/>
        <v>15.689421868067676</v>
      </c>
      <c r="BH14" s="62">
        <f t="shared" si="8"/>
        <v>210.18522047718182</v>
      </c>
      <c r="BI14" s="62">
        <f ca="1">AVERAGE(OFFSET($BH$3,0,0,'Données projet'!$E$11+1,1))-AVERAGE(OFFSET($H$3,0,0,'Données projet'!$E$11+1,1))</f>
        <v>396.06968288200386</v>
      </c>
      <c r="BJ14" s="62">
        <f t="shared" si="38"/>
        <v>273.35778700650792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5.5909090909090908</v>
      </c>
      <c r="N15" s="14">
        <f>IF('Données projet'!$A$36&gt;35,N14+M15-V14,IF(A15&lt;'Données projet'!$A$36,$K$205^A15,IF(A15='Données projet'!$A$36,'Données projet'!$B$36,N14+M15-V14)))</f>
        <v>13.802197659922571</v>
      </c>
      <c r="O15" s="14">
        <f>N15*VLOOKUP('Données projet'!$B$9,Paramètres!$A$1:$I$89,3,0)*VLOOKUP('Données projet'!$B$9,Paramètres!$A$1:$I$89,5,0)</f>
        <v>8.2537142006336985</v>
      </c>
      <c r="P15" s="14">
        <f t="shared" si="33"/>
        <v>2.9751132230743558</v>
      </c>
      <c r="Q15" s="22">
        <f t="shared" si="2"/>
        <v>19.556874429624859</v>
      </c>
      <c r="R15" s="62">
        <f t="shared" si="0"/>
        <v>216.58665188235773</v>
      </c>
      <c r="S15" s="62">
        <f ca="1">AVERAGE(OFFSET($R$3,0,0,'Données projet'!$E$9+1,1))-AVERAGE(OFFSET($H$3,0,0,'Données projet'!$E$9+1,1))</f>
        <v>394.69391436029986</v>
      </c>
      <c r="T15" s="62">
        <f t="shared" si="34"/>
        <v>311.37245656657353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7.9</v>
      </c>
      <c r="AI15" s="14">
        <f>IF('Données projet'!$A$62&gt;35,AI14+AH15-AQ14,IF(A15&lt;'Données projet'!$A$62,$AF$205^A15,IF(A15='Données projet'!$A$62,'Données projet'!$B$62,AI14+AH15-AQ14)))</f>
        <v>20.854234472198982</v>
      </c>
      <c r="AJ15" s="14">
        <f>AI15*VLOOKUP('Données projet'!$B$10,Paramètres!$A$1:$I$89,3,0)*VLOOKUP('Données projet'!$B$10,Paramètres!$A$1:$I$89,5,0)</f>
        <v>9.7597817329891239</v>
      </c>
      <c r="AK15" s="14">
        <f t="shared" si="35"/>
        <v>3.4500178483814818</v>
      </c>
      <c r="AL15" s="22">
        <f t="shared" si="4"/>
        <v>23.00706760422047</v>
      </c>
      <c r="AM15" s="62">
        <f t="shared" si="5"/>
        <v>220.03684505695335</v>
      </c>
      <c r="AN15" s="62">
        <f ca="1">AVERAGE(OFFSET($AM$3,0,0,'Données projet'!$E$10+1,1))-AVERAGE(OFFSET($H$3,0,0,'Données projet'!$E$10+1,1))</f>
        <v>215.50514301701057</v>
      </c>
      <c r="AO15" s="62">
        <f t="shared" si="36"/>
        <v>273.18950868898253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2.8</v>
      </c>
      <c r="BD15" s="13">
        <f>IF('Données projet'!$A$88&gt;35,BD14+BC15-BL14,IF(A15&lt;'Données projet'!$A$88,$BA$205^A15,IF(A15='Données projet'!$A$88,'Données projet'!$B$88,BD14+BC15-BL14)))</f>
        <v>7.685056401906202</v>
      </c>
      <c r="BE15" s="14">
        <f>BD15*VLOOKUP('Données projet'!$B$11,Paramètres!$A$1:$I$89,3,0)*VLOOKUP('Données projet'!$B$11,Paramètres!$A$1:$I$89,5,0)</f>
        <v>7.7926471915328897</v>
      </c>
      <c r="BF15" s="14">
        <f t="shared" si="37"/>
        <v>2.827775604255069</v>
      </c>
      <c r="BG15" s="22">
        <f t="shared" si="7"/>
        <v>18.497236369330697</v>
      </c>
      <c r="BH15" s="62">
        <f t="shared" si="8"/>
        <v>215.52701382206357</v>
      </c>
      <c r="BI15" s="62">
        <f ca="1">AVERAGE(OFFSET($BH$3,0,0,'Données projet'!$E$11+1,1))-AVERAGE(OFFSET($H$3,0,0,'Données projet'!$E$11+1,1))</f>
        <v>396.06968288200386</v>
      </c>
      <c r="BJ15" s="62">
        <f t="shared" si="38"/>
        <v>273.35778700650792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5.5909090909090908</v>
      </c>
      <c r="N16" s="14">
        <f>IF('Données projet'!$A$36&gt;35,N15+M16-V15,IF(A16&lt;'Données projet'!$A$36,$K$205^A16,IF(A16='Données projet'!$A$36,'Données projet'!$B$36,N15+M16-V15)))</f>
        <v>17.17686607257264</v>
      </c>
      <c r="O16" s="14">
        <f>N16*VLOOKUP('Données projet'!$B$9,Paramètres!$A$1:$I$89,3,0)*VLOOKUP('Données projet'!$B$9,Paramètres!$A$1:$I$89,5,0)</f>
        <v>10.27176591139844</v>
      </c>
      <c r="P16" s="14">
        <f t="shared" si="33"/>
        <v>3.609455460548272</v>
      </c>
      <c r="Q16" s="22">
        <f t="shared" si="2"/>
        <v>24.176460556140523</v>
      </c>
      <c r="R16" s="62">
        <f t="shared" si="0"/>
        <v>223.71746080775932</v>
      </c>
      <c r="S16" s="62">
        <f ca="1">AVERAGE(OFFSET($R$3,0,0,'Données projet'!$E$9+1,1))-AVERAGE(OFFSET($H$3,0,0,'Données projet'!$E$9+1,1))</f>
        <v>394.69391436029986</v>
      </c>
      <c r="T16" s="62">
        <f t="shared" si="34"/>
        <v>311.37245656657353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7.9</v>
      </c>
      <c r="AI16" s="14">
        <f>IF('Données projet'!$A$62&gt;35,AI15+AH16-AQ15,IF(A16&lt;'Données projet'!$A$62,$AF$205^A16,IF(A16='Données projet'!$A$62,'Données projet'!$B$62,AI15+AH16-AQ15)))</f>
        <v>26.861304900499697</v>
      </c>
      <c r="AJ16" s="14">
        <f>AI16*VLOOKUP('Données projet'!$B$10,Paramètres!$A$1:$I$89,3,0)*VLOOKUP('Données projet'!$B$10,Paramètres!$A$1:$I$89,5,0)</f>
        <v>12.571090693433858</v>
      </c>
      <c r="AK16" s="14">
        <f t="shared" si="35"/>
        <v>4.3147735914069099</v>
      </c>
      <c r="AL16" s="22">
        <f t="shared" si="4"/>
        <v>29.409546962764335</v>
      </c>
      <c r="AM16" s="62">
        <f t="shared" si="5"/>
        <v>228.95054721438314</v>
      </c>
      <c r="AN16" s="62">
        <f ca="1">AVERAGE(OFFSET($AM$3,0,0,'Données projet'!$E$10+1,1))-AVERAGE(OFFSET($H$3,0,0,'Données projet'!$E$10+1,1))</f>
        <v>215.50514301701057</v>
      </c>
      <c r="AO16" s="62">
        <f t="shared" si="36"/>
        <v>273.18950868898253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2.8</v>
      </c>
      <c r="BD16" s="13">
        <f>IF('Données projet'!$A$88&gt;35,BD15+BC16-BL15,IF(A16&lt;'Données projet'!$A$88,$BA$205^A16,IF(A16='Données projet'!$A$88,'Données projet'!$B$88,BD15+BC16-BL15)))</f>
        <v>9.1085863706396779</v>
      </c>
      <c r="BE16" s="14">
        <f>BD16*VLOOKUP('Données projet'!$B$11,Paramètres!$A$1:$I$89,3,0)*VLOOKUP('Données projet'!$B$11,Paramètres!$A$1:$I$89,5,0)</f>
        <v>9.2361065798286326</v>
      </c>
      <c r="BF16" s="14">
        <f t="shared" si="37"/>
        <v>3.2859283437914253</v>
      </c>
      <c r="BG16" s="22">
        <f t="shared" si="7"/>
        <v>21.809210825304934</v>
      </c>
      <c r="BH16" s="62">
        <f t="shared" si="8"/>
        <v>221.35021107692376</v>
      </c>
      <c r="BI16" s="62">
        <f ca="1">AVERAGE(OFFSET($BH$3,0,0,'Données projet'!$E$11+1,1))-AVERAGE(OFFSET($H$3,0,0,'Données projet'!$E$11+1,1))</f>
        <v>396.06968288200386</v>
      </c>
      <c r="BJ16" s="62">
        <f t="shared" si="38"/>
        <v>273.35778700650792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5.5909090909090908</v>
      </c>
      <c r="N17" s="14">
        <f>IF('Données projet'!$A$36&gt;35,N16+M17-V16,IF(A17&lt;'Données projet'!$A$36,$K$205^A17,IF(A17='Données projet'!$A$36,'Données projet'!$B$36,N16+M17-V16)))</f>
        <v>21.376648512419013</v>
      </c>
      <c r="O17" s="14">
        <f>N17*VLOOKUP('Données projet'!$B$9,Paramètres!$A$1:$I$89,3,0)*VLOOKUP('Données projet'!$B$9,Paramètres!$A$1:$I$89,5,0)</f>
        <v>12.783235810426572</v>
      </c>
      <c r="P17" s="14">
        <f t="shared" si="33"/>
        <v>4.3790497183898731</v>
      </c>
      <c r="Q17" s="22">
        <f t="shared" si="2"/>
        <v>29.890980629355308</v>
      </c>
      <c r="R17" s="62">
        <f t="shared" si="0"/>
        <v>231.92084240162851</v>
      </c>
      <c r="S17" s="62">
        <f ca="1">AVERAGE(OFFSET($R$3,0,0,'Données projet'!$E$9+1,1))-AVERAGE(OFFSET($H$3,0,0,'Données projet'!$E$9+1,1))</f>
        <v>394.69391436029986</v>
      </c>
      <c r="T17" s="62">
        <f t="shared" si="34"/>
        <v>311.37245656657353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7.9</v>
      </c>
      <c r="AI17" s="14">
        <f>IF('Données projet'!$A$62&gt;35,AI16+AH17-AQ16,IF(A17&lt;'Données projet'!$A$62,$AF$205^A17,IF(A17='Données projet'!$A$62,'Données projet'!$B$62,AI16+AH17-AQ16)))</f>
        <v>34.598714324397214</v>
      </c>
      <c r="AJ17" s="14">
        <f>AI17*VLOOKUP('Données projet'!$B$10,Paramètres!$A$1:$I$89,3,0)*VLOOKUP('Données projet'!$B$10,Paramètres!$A$1:$I$89,5,0)</f>
        <v>16.192198303817896</v>
      </c>
      <c r="AK17" s="14">
        <f t="shared" si="35"/>
        <v>5.3962825594761723</v>
      </c>
      <c r="AL17" s="22">
        <f t="shared" si="4"/>
        <v>37.599937503570509</v>
      </c>
      <c r="AM17" s="62">
        <f t="shared" si="5"/>
        <v>239.62979927584371</v>
      </c>
      <c r="AN17" s="62">
        <f ca="1">AVERAGE(OFFSET($AM$3,0,0,'Données projet'!$E$10+1,1))-AVERAGE(OFFSET($H$3,0,0,'Données projet'!$E$10+1,1))</f>
        <v>215.50514301701057</v>
      </c>
      <c r="AO17" s="62">
        <f t="shared" si="36"/>
        <v>273.18950868898253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2.8</v>
      </c>
      <c r="BD17" s="13">
        <f>IF('Données projet'!$A$88&gt;35,BD16+BC17-BL16,IF(A17&lt;'Données projet'!$A$88,$BA$205^A17,IF(A17='Données projet'!$A$88,'Données projet'!$B$88,BD16+BC17-BL16)))</f>
        <v>10.795801791490293</v>
      </c>
      <c r="BE17" s="14">
        <f>BD17*VLOOKUP('Données projet'!$B$11,Paramètres!$A$1:$I$89,3,0)*VLOOKUP('Données projet'!$B$11,Paramètres!$A$1:$I$89,5,0)</f>
        <v>10.946943016571158</v>
      </c>
      <c r="BF17" s="14">
        <f t="shared" si="37"/>
        <v>3.8183104289762917</v>
      </c>
      <c r="BG17" s="22">
        <f t="shared" si="7"/>
        <v>25.71614975099514</v>
      </c>
      <c r="BH17" s="62">
        <f t="shared" si="8"/>
        <v>227.74601152326832</v>
      </c>
      <c r="BI17" s="62">
        <f ca="1">AVERAGE(OFFSET($BH$3,0,0,'Données projet'!$E$11+1,1))-AVERAGE(OFFSET($H$3,0,0,'Données projet'!$E$11+1,1))</f>
        <v>396.06968288200386</v>
      </c>
      <c r="BJ17" s="62">
        <f t="shared" si="38"/>
        <v>273.35778700650792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5.5909090909090908</v>
      </c>
      <c r="N18" s="14">
        <f>IF('Données projet'!$A$36&gt;35,N17+M18-V17,IF(A18&lt;'Données projet'!$A$36,$K$205^A18,IF(A18='Données projet'!$A$36,'Données projet'!$B$36,N17+M18-V17)))</f>
        <v>26.603287217402478</v>
      </c>
      <c r="O18" s="14">
        <f>N18*VLOOKUP('Données projet'!$B$9,Paramètres!$A$1:$I$89,3,0)*VLOOKUP('Données projet'!$B$9,Paramètres!$A$1:$I$89,5,0)</f>
        <v>15.908765756006684</v>
      </c>
      <c r="P18" s="14">
        <f t="shared" si="33"/>
        <v>5.312733913945455</v>
      </c>
      <c r="Q18" s="22">
        <f t="shared" si="2"/>
        <v>36.960778591833304</v>
      </c>
      <c r="R18" s="62">
        <f t="shared" si="0"/>
        <v>241.45752852471435</v>
      </c>
      <c r="S18" s="62">
        <f ca="1">AVERAGE(OFFSET($R$3,0,0,'Données projet'!$E$9+1,1))-AVERAGE(OFFSET($H$3,0,0,'Données projet'!$E$9+1,1))</f>
        <v>394.69391436029986</v>
      </c>
      <c r="T18" s="62">
        <f t="shared" si="34"/>
        <v>311.37245656657353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7.9</v>
      </c>
      <c r="AI18" s="14">
        <f>IF('Données projet'!$A$62&gt;35,AI17+AH18-AQ17,IF(A18&lt;'Données projet'!$A$62,$AF$205^A18,IF(A18='Données projet'!$A$62,'Données projet'!$B$62,AI17+AH18-AQ17)))</f>
        <v>44.564887571004775</v>
      </c>
      <c r="AJ18" s="14">
        <f>AI18*VLOOKUP('Données projet'!$B$10,Paramètres!$A$1:$I$89,3,0)*VLOOKUP('Données projet'!$B$10,Paramètres!$A$1:$I$89,5,0)</f>
        <v>20.856367383230236</v>
      </c>
      <c r="AK18" s="14">
        <f t="shared" si="35"/>
        <v>6.7488744993944465</v>
      </c>
      <c r="AL18" s="22">
        <f t="shared" si="4"/>
        <v>48.079129612237985</v>
      </c>
      <c r="AM18" s="62">
        <f t="shared" si="5"/>
        <v>252.57587954511902</v>
      </c>
      <c r="AN18" s="62">
        <f ca="1">AVERAGE(OFFSET($AM$3,0,0,'Données projet'!$E$10+1,1))-AVERAGE(OFFSET($H$3,0,0,'Données projet'!$E$10+1,1))</f>
        <v>215.50514301701057</v>
      </c>
      <c r="AO18" s="62">
        <f t="shared" si="36"/>
        <v>273.18950868898253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2.8</v>
      </c>
      <c r="BD18" s="13">
        <f>IF('Données projet'!$A$88&gt;35,BD17+BC18-BL17,IF(A18&lt;'Données projet'!$A$88,$BA$205^A18,IF(A18='Données projet'!$A$88,'Données projet'!$B$88,BD17+BC18-BL17)))</f>
        <v>12.795546046181913</v>
      </c>
      <c r="BE18" s="14">
        <f>BD18*VLOOKUP('Données projet'!$B$11,Paramètres!$A$1:$I$89,3,0)*VLOOKUP('Données projet'!$B$11,Paramètres!$A$1:$I$89,5,0)</f>
        <v>12.974683690828462</v>
      </c>
      <c r="BF18" s="14">
        <f t="shared" si="37"/>
        <v>4.4369484074648931</v>
      </c>
      <c r="BG18" s="22">
        <f t="shared" si="7"/>
        <v>30.325259237860919</v>
      </c>
      <c r="BH18" s="62">
        <f t="shared" si="8"/>
        <v>234.82200917074198</v>
      </c>
      <c r="BI18" s="62">
        <f ca="1">AVERAGE(OFFSET($BH$3,0,0,'Données projet'!$E$11+1,1))-AVERAGE(OFFSET($H$3,0,0,'Données projet'!$E$11+1,1))</f>
        <v>396.06968288200386</v>
      </c>
      <c r="BJ18" s="62">
        <f t="shared" si="38"/>
        <v>273.35778700650792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5.5909090909090908</v>
      </c>
      <c r="N19" s="14">
        <f>IF('Données projet'!$A$36&gt;35,N18+M19-V18,IF(A19&lt;'Données projet'!$A$36,$K$205^A19,IF(A19='Données projet'!$A$36,'Données projet'!$B$36,N18+M19-V18)))</f>
        <v>33.107850856996748</v>
      </c>
      <c r="O19" s="14">
        <f>N19*VLOOKUP('Données projet'!$B$9,Paramètres!$A$1:$I$89,3,0)*VLOOKUP('Données projet'!$B$9,Paramètres!$A$1:$I$89,5,0)</f>
        <v>19.798494812484059</v>
      </c>
      <c r="P19" s="14">
        <f t="shared" si="33"/>
        <v>6.4454946747588586</v>
      </c>
      <c r="Q19" s="22">
        <f t="shared" si="2"/>
        <v>45.70828169028141</v>
      </c>
      <c r="R19" s="62">
        <f t="shared" si="0"/>
        <v>252.65032761239547</v>
      </c>
      <c r="S19" s="62">
        <f ca="1">AVERAGE(OFFSET($R$3,0,0,'Données projet'!$E$9+1,1))-AVERAGE(OFFSET($H$3,0,0,'Données projet'!$E$9+1,1))</f>
        <v>394.69391436029986</v>
      </c>
      <c r="T19" s="62">
        <f t="shared" si="34"/>
        <v>311.37245656657353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7.9</v>
      </c>
      <c r="AI19" s="14">
        <f>IF('Données projet'!$A$62&gt;35,AI18+AH19-AQ18,IF(A19&lt;'Données projet'!$A$62,$AF$205^A19,IF(A19='Données projet'!$A$62,'Données projet'!$B$62,AI18+AH19-AQ18)))</f>
        <v>57.401820934596167</v>
      </c>
      <c r="AJ19" s="14">
        <f>AI19*VLOOKUP('Données projet'!$B$10,Paramètres!$A$1:$I$89,3,0)*VLOOKUP('Données projet'!$B$10,Paramètres!$A$1:$I$89,5,0)</f>
        <v>26.864052197391008</v>
      </c>
      <c r="AK19" s="14">
        <f t="shared" si="35"/>
        <v>8.4404970471001413</v>
      </c>
      <c r="AL19" s="22">
        <f t="shared" si="4"/>
        <v>61.488756600822086</v>
      </c>
      <c r="AM19" s="62">
        <f t="shared" si="5"/>
        <v>268.43080252293612</v>
      </c>
      <c r="AN19" s="62">
        <f ca="1">AVERAGE(OFFSET($AM$3,0,0,'Données projet'!$E$10+1,1))-AVERAGE(OFFSET($H$3,0,0,'Données projet'!$E$10+1,1))</f>
        <v>215.50514301701057</v>
      </c>
      <c r="AO19" s="62">
        <f t="shared" si="36"/>
        <v>273.18950868898253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2.8</v>
      </c>
      <c r="BD19" s="13">
        <f>IF('Données projet'!$A$88&gt;35,BD18+BC19-BL18,IF(A19&lt;'Données projet'!$A$88,$BA$205^A19,IF(A19='Données projet'!$A$88,'Données projet'!$B$88,BD18+BC19-BL18)))</f>
        <v>15.165709947455436</v>
      </c>
      <c r="BE19" s="14">
        <f>BD19*VLOOKUP('Données projet'!$B$11,Paramètres!$A$1:$I$89,3,0)*VLOOKUP('Données projet'!$B$11,Paramètres!$A$1:$I$89,5,0)</f>
        <v>15.378029886719814</v>
      </c>
      <c r="BF19" s="14">
        <f t="shared" si="37"/>
        <v>5.1558173534317051</v>
      </c>
      <c r="BG19" s="22">
        <f t="shared" si="7"/>
        <v>35.763117276597228</v>
      </c>
      <c r="BH19" s="62">
        <f t="shared" si="8"/>
        <v>242.70516319871129</v>
      </c>
      <c r="BI19" s="62">
        <f ca="1">AVERAGE(OFFSET($BH$3,0,0,'Données projet'!$E$11+1,1))-AVERAGE(OFFSET($H$3,0,0,'Données projet'!$E$11+1,1))</f>
        <v>396.06968288200386</v>
      </c>
      <c r="BJ19" s="62">
        <f t="shared" si="38"/>
        <v>273.35778700650792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5.5909090909090908</v>
      </c>
      <c r="N20" s="14">
        <f>IF('Données projet'!$A$36&gt;35,N19+M20-V19,IF(A20&lt;'Données projet'!$A$36,$K$205^A20,IF(A20='Données projet'!$A$36,'Données projet'!$B$36,N19+M20-V19)))</f>
        <v>41.202794955809431</v>
      </c>
      <c r="O20" s="14">
        <f>N20*VLOOKUP('Données projet'!$B$9,Paramètres!$A$1:$I$89,3,0)*VLOOKUP('Données projet'!$B$9,Paramètres!$A$1:$I$89,5,0)</f>
        <v>24.639271383574041</v>
      </c>
      <c r="P20" s="14">
        <f t="shared" si="33"/>
        <v>7.8197783429910519</v>
      </c>
      <c r="Q20" s="22">
        <f t="shared" si="2"/>
        <v>56.532844940434195</v>
      </c>
      <c r="R20" s="62">
        <f t="shared" si="0"/>
        <v>265.89896925630694</v>
      </c>
      <c r="S20" s="62">
        <f ca="1">AVERAGE(OFFSET($R$3,0,0,'Données projet'!$E$9+1,1))-AVERAGE(OFFSET($H$3,0,0,'Données projet'!$E$9+1,1))</f>
        <v>394.69391436029986</v>
      </c>
      <c r="T20" s="62">
        <f t="shared" si="34"/>
        <v>311.37245656657353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7.9</v>
      </c>
      <c r="AI20" s="14">
        <f>IF('Données projet'!$A$62&gt;35,AI19+AH20-AQ19,IF(A20&lt;'Données projet'!$A$62,$AF$205^A20,IF(A20='Données projet'!$A$62,'Données projet'!$B$62,AI19+AH20-AQ19)))</f>
        <v>73.936437994095741</v>
      </c>
      <c r="AJ20" s="14">
        <f>AI20*VLOOKUP('Données projet'!$B$10,Paramètres!$A$1:$I$89,3,0)*VLOOKUP('Données projet'!$B$10,Paramètres!$A$1:$I$89,5,0)</f>
        <v>34.602252981236802</v>
      </c>
      <c r="AK20" s="14">
        <f t="shared" si="35"/>
        <v>10.556129086190376</v>
      </c>
      <c r="AL20" s="22">
        <f t="shared" si="4"/>
        <v>78.650848767435647</v>
      </c>
      <c r="AM20" s="62">
        <f t="shared" si="5"/>
        <v>288.01697308330836</v>
      </c>
      <c r="AN20" s="62">
        <f ca="1">AVERAGE(OFFSET($AM$3,0,0,'Données projet'!$E$10+1,1))-AVERAGE(OFFSET($H$3,0,0,'Données projet'!$E$10+1,1))</f>
        <v>215.50514301701057</v>
      </c>
      <c r="AO20" s="62">
        <f t="shared" si="36"/>
        <v>273.18950868898253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2.8</v>
      </c>
      <c r="BD20" s="13">
        <f>IF('Données projet'!$A$88&gt;35,BD19+BC20-BL19,IF(A20&lt;'Données projet'!$A$88,$BA$205^A20,IF(A20='Données projet'!$A$88,'Données projet'!$B$88,BD19+BC20-BL19)))</f>
        <v>17.974907626468866</v>
      </c>
      <c r="BE20" s="14">
        <f>BD20*VLOOKUP('Données projet'!$B$11,Paramètres!$A$1:$I$89,3,0)*VLOOKUP('Données projet'!$B$11,Paramètres!$A$1:$I$89,5,0)</f>
        <v>18.226556333239429</v>
      </c>
      <c r="BF20" s="14">
        <f t="shared" si="37"/>
        <v>5.9911565654502983</v>
      </c>
      <c r="BG20" s="22">
        <f t="shared" si="7"/>
        <v>42.179183298551266</v>
      </c>
      <c r="BH20" s="62">
        <f t="shared" si="8"/>
        <v>251.54530761442399</v>
      </c>
      <c r="BI20" s="62">
        <f ca="1">AVERAGE(OFFSET($BH$3,0,0,'Données projet'!$E$11+1,1))-AVERAGE(OFFSET($H$3,0,0,'Données projet'!$E$11+1,1))</f>
        <v>396.06968288200386</v>
      </c>
      <c r="BJ20" s="62">
        <f t="shared" si="38"/>
        <v>273.35778700650792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5.5909090909090908</v>
      </c>
      <c r="N21" s="14">
        <f>IF('Données projet'!$A$36&gt;35,N20+M21-V20,IF(A21&lt;'Données projet'!$A$36,$K$205^A21,IF(A21='Données projet'!$A$36,'Données projet'!$B$36,N20+M21-V20)))</f>
        <v>51.276971117915458</v>
      </c>
      <c r="O21" s="14">
        <f>N21*VLOOKUP('Données projet'!$B$9,Paramètres!$A$1:$I$89,3,0)*VLOOKUP('Données projet'!$B$9,Paramètres!$A$1:$I$89,5,0)</f>
        <v>30.663628728513448</v>
      </c>
      <c r="P21" s="14">
        <f t="shared" si="33"/>
        <v>9.4870815071768995</v>
      </c>
      <c r="Q21" s="22">
        <f t="shared" si="2"/>
        <v>69.929153660494023</v>
      </c>
      <c r="R21" s="62">
        <f t="shared" si="0"/>
        <v>281.69850685249713</v>
      </c>
      <c r="S21" s="62">
        <f ca="1">AVERAGE(OFFSET($R$3,0,0,'Données projet'!$E$9+1,1))-AVERAGE(OFFSET($H$3,0,0,'Données projet'!$E$9+1,1))</f>
        <v>394.69391436029986</v>
      </c>
      <c r="T21" s="62">
        <f t="shared" si="34"/>
        <v>311.37245656657353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7.9</v>
      </c>
      <c r="AI21" s="14">
        <f>IF('Données projet'!$A$62&gt;35,AI20+AH21-AQ20,IF(A21&lt;'Données projet'!$A$62,$AF$205^A21,IF(A21='Données projet'!$A$62,'Données projet'!$B$62,AI20+AH21-AQ20)))</f>
        <v>95.233857990035276</v>
      </c>
      <c r="AJ21" s="14">
        <f>AI21*VLOOKUP('Données projet'!$B$10,Paramètres!$A$1:$I$89,3,0)*VLOOKUP('Données projet'!$B$10,Paramètres!$A$1:$I$89,5,0)</f>
        <v>44.569445539336513</v>
      </c>
      <c r="AK21" s="14">
        <f t="shared" si="35"/>
        <v>13.202049673437019</v>
      </c>
      <c r="AL21" s="22">
        <f t="shared" si="4"/>
        <v>100.61868749558056</v>
      </c>
      <c r="AM21" s="62">
        <f t="shared" si="5"/>
        <v>312.38804068758367</v>
      </c>
      <c r="AN21" s="62">
        <f ca="1">AVERAGE(OFFSET($AM$3,0,0,'Données projet'!$E$10+1,1))-AVERAGE(OFFSET($H$3,0,0,'Données projet'!$E$10+1,1))</f>
        <v>215.50514301701057</v>
      </c>
      <c r="AO21" s="62">
        <f t="shared" si="36"/>
        <v>273.18950868898253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2.8</v>
      </c>
      <c r="BD21" s="13">
        <f>IF('Données projet'!$A$88&gt;35,BD20+BC21-BL20,IF(A21&lt;'Données projet'!$A$88,$BA$205^A21,IF(A21='Données projet'!$A$88,'Données projet'!$B$88,BD20+BC21-BL20)))</f>
        <v>21.304462850702166</v>
      </c>
      <c r="BE21" s="14">
        <f>BD21*VLOOKUP('Données projet'!$B$11,Paramètres!$A$1:$I$89,3,0)*VLOOKUP('Données projet'!$B$11,Paramètres!$A$1:$I$89,5,0)</f>
        <v>21.602725330612</v>
      </c>
      <c r="BF21" s="14">
        <f t="shared" si="37"/>
        <v>6.9618364133568926</v>
      </c>
      <c r="BG21" s="22">
        <f t="shared" si="7"/>
        <v>49.749945037412488</v>
      </c>
      <c r="BH21" s="62">
        <f t="shared" si="8"/>
        <v>261.5192982294156</v>
      </c>
      <c r="BI21" s="62">
        <f ca="1">AVERAGE(OFFSET($BH$3,0,0,'Données projet'!$E$11+1,1))-AVERAGE(OFFSET($H$3,0,0,'Données projet'!$E$11+1,1))</f>
        <v>396.06968288200386</v>
      </c>
      <c r="BJ21" s="62">
        <f t="shared" si="38"/>
        <v>273.35778700650792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5.5909090909090908</v>
      </c>
      <c r="N22" s="14">
        <f>IF('Données projet'!$A$36&gt;35,N21+M22-V21,IF(A22&lt;'Données projet'!$A$36,$K$205^A22,IF(A22='Données projet'!$A$36,'Données projet'!$B$36,N21+M22-V21)))</f>
        <v>63.814306040343304</v>
      </c>
      <c r="O22" s="14">
        <f>N22*VLOOKUP('Données projet'!$B$9,Paramètres!$A$1:$I$89,3,0)*VLOOKUP('Données projet'!$B$9,Paramètres!$A$1:$I$89,5,0)</f>
        <v>38.160955012125299</v>
      </c>
      <c r="P22" s="14">
        <f t="shared" si="33"/>
        <v>11.509880661066306</v>
      </c>
      <c r="Q22" s="22">
        <f t="shared" si="2"/>
        <v>86.510038797475374</v>
      </c>
      <c r="R22" s="62">
        <f t="shared" si="0"/>
        <v>300.66213304049893</v>
      </c>
      <c r="S22" s="62">
        <f ca="1">AVERAGE(OFFSET($R$3,0,0,'Données projet'!$E$9+1,1))-AVERAGE(OFFSET($H$3,0,0,'Données projet'!$E$9+1,1))</f>
        <v>394.69391436029986</v>
      </c>
      <c r="T22" s="62">
        <f t="shared" si="34"/>
        <v>311.37245656657353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7.9</v>
      </c>
      <c r="AI22" s="14">
        <f>IF('Données projet'!$A$62&gt;35,AI21+AH22-AQ21,IF(A22&lt;'Données projet'!$A$62,$AF$205^A22,IF(A22='Données projet'!$A$62,'Données projet'!$B$62,AI21+AH22-AQ21)))</f>
        <v>122.66600817840934</v>
      </c>
      <c r="AJ22" s="14">
        <f>AI22*VLOOKUP('Données projet'!$B$10,Paramètres!$A$1:$I$89,3,0)*VLOOKUP('Données projet'!$B$10,Paramètres!$A$1:$I$89,5,0)</f>
        <v>57.407691827495569</v>
      </c>
      <c r="AK22" s="14">
        <f t="shared" si="35"/>
        <v>16.511176981334152</v>
      </c>
      <c r="AL22" s="22">
        <f t="shared" si="4"/>
        <v>128.7420298420451</v>
      </c>
      <c r="AM22" s="62">
        <f t="shared" si="5"/>
        <v>342.8941240850686</v>
      </c>
      <c r="AN22" s="62">
        <f ca="1">AVERAGE(OFFSET($AM$3,0,0,'Données projet'!$E$10+1,1))-AVERAGE(OFFSET($H$3,0,0,'Données projet'!$E$10+1,1))</f>
        <v>215.50514301701057</v>
      </c>
      <c r="AO22" s="62">
        <f t="shared" si="36"/>
        <v>273.18950868898253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2.8</v>
      </c>
      <c r="BD22" s="13">
        <f>IF('Données projet'!$A$88&gt;35,BD21+BC22-BL21,IF(A22&lt;'Données projet'!$A$88,$BA$205^A22,IF(A22='Données projet'!$A$88,'Données projet'!$B$88,BD21+BC22-BL21)))</f>
        <v>25.250763274498809</v>
      </c>
      <c r="BE22" s="14">
        <f>BD22*VLOOKUP('Données projet'!$B$11,Paramètres!$A$1:$I$89,3,0)*VLOOKUP('Données projet'!$B$11,Paramètres!$A$1:$I$89,5,0)</f>
        <v>25.604273960341793</v>
      </c>
      <c r="BF22" s="14">
        <f t="shared" si="37"/>
        <v>8.0897846211934414</v>
      </c>
      <c r="BG22" s="22">
        <f t="shared" si="7"/>
        <v>58.683818696173859</v>
      </c>
      <c r="BH22" s="62">
        <f t="shared" si="8"/>
        <v>272.83591293919739</v>
      </c>
      <c r="BI22" s="62">
        <f ca="1">AVERAGE(OFFSET($BH$3,0,0,'Données projet'!$E$11+1,1))-AVERAGE(OFFSET($H$3,0,0,'Données projet'!$E$11+1,1))</f>
        <v>396.06968288200386</v>
      </c>
      <c r="BJ22" s="62">
        <f t="shared" si="38"/>
        <v>273.35778700650792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5.5909090909090908</v>
      </c>
      <c r="N23" s="14">
        <f>IF('Données projet'!$A$36&gt;35,N22+M23-V22,IF(A23&lt;'Données projet'!$A$36,$K$205^A23,IF(A23='Données projet'!$A$36,'Données projet'!$B$36,N22+M23-V22)))</f>
        <v>79.417047587426694</v>
      </c>
      <c r="O23" s="14">
        <f>N23*VLOOKUP('Données projet'!$B$9,Paramètres!$A$1:$I$89,3,0)*VLOOKUP('Données projet'!$B$9,Paramètres!$A$1:$I$89,5,0)</f>
        <v>47.49139445728116</v>
      </c>
      <c r="P23" s="14">
        <f t="shared" si="33"/>
        <v>13.96397329692701</v>
      </c>
      <c r="Q23" s="22">
        <f t="shared" si="2"/>
        <v>107.03476550524589</v>
      </c>
      <c r="R23" s="62">
        <f t="shared" si="0"/>
        <v>323.54946839214159</v>
      </c>
      <c r="S23" s="62">
        <f ca="1">AVERAGE(OFFSET($R$3,0,0,'Données projet'!$E$9+1,1))-AVERAGE(OFFSET($H$3,0,0,'Données projet'!$E$9+1,1))</f>
        <v>394.69391436029986</v>
      </c>
      <c r="T23" s="62">
        <f t="shared" si="34"/>
        <v>311.37245656657353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158</v>
      </c>
      <c r="AG23" s="13">
        <f>VLOOKUP(A23,'Données projet'!$A$61:$I$81,9,0)</f>
        <v>7.9</v>
      </c>
      <c r="AH23" s="13">
        <f t="array" ref="AH23">INDEX(AG:AG,MIN(IF(ISNUMBER(AG23:AG219),ROW(AG23:AG219),"")))</f>
        <v>7.9</v>
      </c>
      <c r="AI23" s="14">
        <f>IF('Données projet'!$A$62&gt;35,AI22+AH23-AQ22,IF(A23&lt;'Données projet'!$A$62,$AF$205^A23,IF(A23='Données projet'!$A$62,'Données projet'!$B$62,AI22+AH23-AQ22)))</f>
        <v>158</v>
      </c>
      <c r="AJ23" s="14">
        <f>AI23*VLOOKUP('Données projet'!$B$10,Paramètres!$A$1:$I$89,3,0)*VLOOKUP('Données projet'!$B$10,Paramètres!$A$1:$I$89,5,0)</f>
        <v>73.944000000000003</v>
      </c>
      <c r="AK23" s="14">
        <f t="shared" si="35"/>
        <v>20.649745460165708</v>
      </c>
      <c r="AL23" s="22">
        <f t="shared" si="4"/>
        <v>164.75077334312192</v>
      </c>
      <c r="AM23" s="62">
        <f t="shared" si="5"/>
        <v>381.26547623001761</v>
      </c>
      <c r="AN23" s="62">
        <f ca="1">AVERAGE(OFFSET($AM$3,0,0,'Données projet'!$E$10+1,1))-AVERAGE(OFFSET($H$3,0,0,'Données projet'!$E$10+1,1))</f>
        <v>215.50514301701057</v>
      </c>
      <c r="AO23" s="62">
        <f t="shared" si="36"/>
        <v>273.18950868898253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39.5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1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20.930446252074244</v>
      </c>
      <c r="AX23" s="23">
        <f t="shared" si="6"/>
        <v>20.930446252074244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2.8</v>
      </c>
      <c r="BD23" s="13">
        <f>IF('Données projet'!$A$88&gt;35,BD22+BC23-BL22,IF(A23&lt;'Données projet'!$A$88,$BA$205^A23,IF(A23='Données projet'!$A$88,'Données projet'!$B$88,BD22+BC23-BL22)))</f>
        <v>29.92805077569761</v>
      </c>
      <c r="BE23" s="14">
        <f>BD23*VLOOKUP('Données projet'!$B$11,Paramètres!$A$1:$I$89,3,0)*VLOOKUP('Données projet'!$B$11,Paramètres!$A$1:$I$89,5,0)</f>
        <v>30.347043486557379</v>
      </c>
      <c r="BF23" s="14">
        <f t="shared" si="37"/>
        <v>9.4004816159909641</v>
      </c>
      <c r="BG23" s="22">
        <f t="shared" si="7"/>
        <v>69.226939553605035</v>
      </c>
      <c r="BH23" s="62">
        <f t="shared" si="8"/>
        <v>285.74164244050075</v>
      </c>
      <c r="BI23" s="62">
        <f ca="1">AVERAGE(OFFSET($BH$3,0,0,'Données projet'!$E$11+1,1))-AVERAGE(OFFSET($H$3,0,0,'Données projet'!$E$11+1,1))</f>
        <v>396.06968288200386</v>
      </c>
      <c r="BJ23" s="62">
        <f t="shared" si="38"/>
        <v>273.35778700650792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5.5909090909090908</v>
      </c>
      <c r="N24" s="14">
        <f>IF('Données projet'!$A$36&gt;35,N23+M24-V23,IF(A24&lt;'Données projet'!$A$36,$K$205^A24,IF(A24='Données projet'!$A$36,'Données projet'!$B$36,N23+M24-V23)))</f>
        <v>98.834694582689295</v>
      </c>
      <c r="O24" s="14">
        <f>N24*VLOOKUP('Données projet'!$B$9,Paramètres!$A$1:$I$89,3,0)*VLOOKUP('Données projet'!$B$9,Paramètres!$A$1:$I$89,5,0)</f>
        <v>59.103147360448204</v>
      </c>
      <c r="P24" s="14">
        <f t="shared" si="33"/>
        <v>16.94131815778756</v>
      </c>
      <c r="Q24" s="22">
        <f t="shared" si="2"/>
        <v>132.44411077759398</v>
      </c>
      <c r="R24" s="62">
        <f t="shared" si="0"/>
        <v>351.30163915346839</v>
      </c>
      <c r="S24" s="62">
        <f ca="1">AVERAGE(OFFSET($R$3,0,0,'Données projet'!$E$9+1,1))-AVERAGE(OFFSET($H$3,0,0,'Données projet'!$E$9+1,1))</f>
        <v>394.69391436029986</v>
      </c>
      <c r="T24" s="62">
        <f t="shared" si="34"/>
        <v>311.37245656657353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9.15</v>
      </c>
      <c r="AI24" s="14">
        <f>IF('Données projet'!$A$62&gt;35,AI23+AH24-AQ23,IF(A24&lt;'Données projet'!$A$62,$AF$205^A24,IF(A24='Données projet'!$A$62,'Données projet'!$B$62,AI23+AH24-AQ23)))</f>
        <v>127.65</v>
      </c>
      <c r="AJ24" s="14">
        <f>AI24*VLOOKUP('Données projet'!$B$10,Paramètres!$A$1:$I$89,3,0)*VLOOKUP('Données projet'!$B$10,Paramètres!$A$1:$I$89,5,0)</f>
        <v>59.740200000000002</v>
      </c>
      <c r="AK24" s="14">
        <f t="shared" si="35"/>
        <v>17.10256684137762</v>
      </c>
      <c r="AL24" s="22">
        <f t="shared" si="4"/>
        <v>133.83448558206604</v>
      </c>
      <c r="AM24" s="62">
        <f t="shared" si="5"/>
        <v>352.69201395794039</v>
      </c>
      <c r="AN24" s="62">
        <f ca="1">AVERAGE(OFFSET($AM$3,0,0,'Données projet'!$E$10+1,1))-AVERAGE(OFFSET($H$3,0,0,'Données projet'!$E$10+1,1))</f>
        <v>215.50514301701057</v>
      </c>
      <c r="AO24" s="62">
        <f t="shared" si="36"/>
        <v>273.18950868898253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14.800060478102257</v>
      </c>
      <c r="AX24" s="23">
        <f t="shared" si="6"/>
        <v>14.800060478102257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2.8</v>
      </c>
      <c r="BD24" s="13">
        <f>IF('Données projet'!$A$88&gt;35,BD23+BC24-BL23,IF(A24&lt;'Données projet'!$A$88,$BA$205^A24,IF(A24='Données projet'!$A$88,'Données projet'!$B$88,BD23+BC24-BL23)))</f>
        <v>35.471728656111772</v>
      </c>
      <c r="BE24" s="14">
        <f>BD24*VLOOKUP('Données projet'!$B$11,Paramètres!$A$1:$I$89,3,0)*VLOOKUP('Données projet'!$B$11,Paramètres!$A$1:$I$89,5,0)</f>
        <v>35.968332857297341</v>
      </c>
      <c r="BF24" s="14">
        <f t="shared" si="37"/>
        <v>10.923536132355956</v>
      </c>
      <c r="BG24" s="22">
        <f t="shared" si="7"/>
        <v>81.670005156979485</v>
      </c>
      <c r="BH24" s="62">
        <f t="shared" si="8"/>
        <v>300.52753353285385</v>
      </c>
      <c r="BI24" s="62">
        <f ca="1">AVERAGE(OFFSET($BH$3,0,0,'Données projet'!$E$11+1,1))-AVERAGE(OFFSET($H$3,0,0,'Données projet'!$E$11+1,1))</f>
        <v>396.06968288200386</v>
      </c>
      <c r="BJ24" s="62">
        <f t="shared" si="38"/>
        <v>273.35778700650792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123</v>
      </c>
      <c r="L25" s="13">
        <f>VLOOKUP(A25,'Données projet'!$A$35:$I$55,9,0)</f>
        <v>5.5909090909090908</v>
      </c>
      <c r="M25" s="13">
        <f t="array" ref="M25">INDEX(L:L,MIN(IF(ISNUMBER(L25:L221),ROW(L25:L221),"")))</f>
        <v>5.5909090909090908</v>
      </c>
      <c r="N25" s="14">
        <f>IF('Données projet'!$A$36&gt;35,N24+M25-V24,IF(A25&lt;'Données projet'!$A$36,$K$205^A25,IF(A25='Données projet'!$A$36,'Données projet'!$B$36,N24+M25-V24)))</f>
        <v>123</v>
      </c>
      <c r="O25" s="14">
        <f>N25*VLOOKUP('Données projet'!$B$9,Paramètres!$A$1:$I$89,3,0)*VLOOKUP('Données projet'!$B$9,Paramètres!$A$1:$I$89,5,0)</f>
        <v>73.554000000000016</v>
      </c>
      <c r="P25" s="14">
        <f t="shared" si="33"/>
        <v>20.553481077376691</v>
      </c>
      <c r="Q25" s="22">
        <f t="shared" si="2"/>
        <v>163.90386287643108</v>
      </c>
      <c r="R25" s="62">
        <f t="shared" si="0"/>
        <v>385.08477677989947</v>
      </c>
      <c r="S25" s="62">
        <f ca="1">AVERAGE(OFFSET($R$3,0,0,'Données projet'!$E$9+1,1))-AVERAGE(OFFSET($H$3,0,0,'Données projet'!$E$9+1,1))</f>
        <v>394.69391436029986</v>
      </c>
      <c r="T25" s="62">
        <f t="shared" si="34"/>
        <v>311.37245656657353</v>
      </c>
      <c r="U25" s="16">
        <f>IF(ISNA(VLOOKUP(A25,'Données projet'!$A$35:$I$55,3,0)),0,VLOOKUP(A25,'Données projet'!$A$35:$I$55,3,0))</f>
        <v>1</v>
      </c>
      <c r="V25" s="16">
        <f>IF(ISNA(VLOOKUP(A25,'Données projet'!$A$35:$I$55,4,0)),0,VLOOKUP(A25,'Données projet'!$A$35:$I$55,4,0))</f>
        <v>16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1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10.833198622733226</v>
      </c>
      <c r="AC25" s="24">
        <f t="shared" si="3"/>
        <v>10.833198622733226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9.15</v>
      </c>
      <c r="AI25" s="14">
        <f>IF('Données projet'!$A$62&gt;35,AI24+AH25-AQ24,IF(A25&lt;'Données projet'!$A$62,$AF$205^A25,IF(A25='Données projet'!$A$62,'Données projet'!$B$62,AI24+AH25-AQ24)))</f>
        <v>136.80000000000001</v>
      </c>
      <c r="AJ25" s="14">
        <f>AI25*VLOOKUP('Données projet'!$B$10,Paramètres!$A$1:$I$89,3,0)*VLOOKUP('Données projet'!$B$10,Paramètres!$A$1:$I$89,5,0)</f>
        <v>64.022400000000005</v>
      </c>
      <c r="AK25" s="14">
        <f t="shared" si="35"/>
        <v>18.181385543312242</v>
      </c>
      <c r="AL25" s="22">
        <f t="shared" si="4"/>
        <v>143.17159315460216</v>
      </c>
      <c r="AM25" s="62">
        <f t="shared" si="5"/>
        <v>364.35250705807056</v>
      </c>
      <c r="AN25" s="62">
        <f ca="1">AVERAGE(OFFSET($AM$3,0,0,'Données projet'!$E$10+1,1))-AVERAGE(OFFSET($H$3,0,0,'Données projet'!$E$10+1,1))</f>
        <v>215.50514301701057</v>
      </c>
      <c r="AO25" s="62">
        <f t="shared" si="36"/>
        <v>273.18950868898253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10.465223126037124</v>
      </c>
      <c r="AX25" s="23">
        <f t="shared" si="6"/>
        <v>10.465223126037124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2.8</v>
      </c>
      <c r="BD25" s="13">
        <f>IF('Données projet'!$A$88&gt;35,BD24+BC25-BL24,IF(A25&lt;'Données projet'!$A$88,$BA$205^A25,IF(A25='Données projet'!$A$88,'Données projet'!$B$88,BD24+BC25-BL24)))</f>
        <v>42.042281446359659</v>
      </c>
      <c r="BE25" s="14">
        <f>BD25*VLOOKUP('Données projet'!$B$11,Paramètres!$A$1:$I$89,3,0)*VLOOKUP('Données projet'!$B$11,Paramètres!$A$1:$I$89,5,0)</f>
        <v>42.630873386608698</v>
      </c>
      <c r="BF25" s="14">
        <f t="shared" si="37"/>
        <v>12.693354075806836</v>
      </c>
      <c r="BG25" s="22">
        <f t="shared" si="7"/>
        <v>96.356362830373712</v>
      </c>
      <c r="BH25" s="62">
        <f t="shared" si="8"/>
        <v>317.53727673384208</v>
      </c>
      <c r="BI25" s="62">
        <f ca="1">AVERAGE(OFFSET($BH$3,0,0,'Données projet'!$E$11+1,1))-AVERAGE(OFFSET($H$3,0,0,'Données projet'!$E$11+1,1))</f>
        <v>396.06968288200386</v>
      </c>
      <c r="BJ25" s="62">
        <f t="shared" si="38"/>
        <v>273.35778700650792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12.333333333333334</v>
      </c>
      <c r="N26" s="14">
        <f>IF('Données projet'!$A$36&gt;35,N25+M26-V25,IF(A26&lt;'Données projet'!$A$36,$K$205^A26,IF(A26='Données projet'!$A$36,'Données projet'!$B$36,N25+M26-V25)))</f>
        <v>119.33333333333334</v>
      </c>
      <c r="O26" s="14">
        <f>N26*VLOOKUP('Données projet'!$B$9,Paramètres!$A$1:$I$89,3,0)*VLOOKUP('Données projet'!$B$9,Paramètres!$A$1:$I$89,5,0)</f>
        <v>71.361333333333349</v>
      </c>
      <c r="P26" s="14">
        <f t="shared" si="33"/>
        <v>20.011144716858571</v>
      </c>
      <c r="Q26" s="22">
        <f t="shared" si="2"/>
        <v>159.14039927075092</v>
      </c>
      <c r="R26" s="62">
        <f t="shared" si="0"/>
        <v>382.62559598029742</v>
      </c>
      <c r="S26" s="62">
        <f ca="1">AVERAGE(OFFSET($R$3,0,0,'Données projet'!$E$9+1,1))-AVERAGE(OFFSET($H$3,0,0,'Données projet'!$E$9+1,1))</f>
        <v>394.69391436029986</v>
      </c>
      <c r="T26" s="62">
        <f t="shared" si="34"/>
        <v>311.37245656657353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7.6602282080754316</v>
      </c>
      <c r="AC26" s="24">
        <f t="shared" si="3"/>
        <v>7.6602282080754316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9.15</v>
      </c>
      <c r="AI26" s="14">
        <f>IF('Données projet'!$A$62&gt;35,AI25+AH26-AQ25,IF(A26&lt;'Données projet'!$A$62,$AF$205^A26,IF(A26='Données projet'!$A$62,'Données projet'!$B$62,AI25+AH26-AQ25)))</f>
        <v>145.95000000000002</v>
      </c>
      <c r="AJ26" s="14">
        <f>AI26*VLOOKUP('Données projet'!$B$10,Paramètres!$A$1:$I$89,3,0)*VLOOKUP('Données projet'!$B$10,Paramètres!$A$1:$I$89,5,0)</f>
        <v>68.304600000000008</v>
      </c>
      <c r="AK26" s="14">
        <f t="shared" si="35"/>
        <v>19.251831097125873</v>
      </c>
      <c r="AL26" s="22">
        <f t="shared" si="4"/>
        <v>152.49411749416092</v>
      </c>
      <c r="AM26" s="62">
        <f t="shared" si="5"/>
        <v>375.97931420370742</v>
      </c>
      <c r="AN26" s="62">
        <f ca="1">AVERAGE(OFFSET($AM$3,0,0,'Données projet'!$E$10+1,1))-AVERAGE(OFFSET($H$3,0,0,'Données projet'!$E$10+1,1))</f>
        <v>215.50514301701057</v>
      </c>
      <c r="AO26" s="62">
        <f t="shared" si="36"/>
        <v>273.18950868898253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7.4000302390511301</v>
      </c>
      <c r="AX26" s="23">
        <f t="shared" si="6"/>
        <v>7.4000302390511301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2.8</v>
      </c>
      <c r="BD26" s="13">
        <f>IF('Données projet'!$A$88&gt;35,BD25+BC26-BL25,IF(A26&lt;'Données projet'!$A$88,$BA$205^A26,IF(A26='Données projet'!$A$88,'Données projet'!$B$88,BD25+BC26-BL25)))</f>
        <v>49.82992078990118</v>
      </c>
      <c r="BE26" s="14">
        <f>BD26*VLOOKUP('Données projet'!$B$11,Paramètres!$A$1:$I$89,3,0)*VLOOKUP('Données projet'!$B$11,Paramètres!$A$1:$I$89,5,0)</f>
        <v>50.527539680959798</v>
      </c>
      <c r="BF26" s="14">
        <f t="shared" si="37"/>
        <v>14.749915754528818</v>
      </c>
      <c r="BG26" s="22">
        <f t="shared" si="7"/>
        <v>113.69156821680933</v>
      </c>
      <c r="BH26" s="62">
        <f t="shared" si="8"/>
        <v>337.17676492635582</v>
      </c>
      <c r="BI26" s="62">
        <f ca="1">AVERAGE(OFFSET($BH$3,0,0,'Données projet'!$E$11+1,1))-AVERAGE(OFFSET($H$3,0,0,'Données projet'!$E$11+1,1))</f>
        <v>396.06968288200386</v>
      </c>
      <c r="BJ26" s="62">
        <f t="shared" si="38"/>
        <v>273.35778700650792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12.333333333333334</v>
      </c>
      <c r="N27" s="14">
        <f>IF('Données projet'!$A$36&gt;35,N26+M27-V26,IF(A27&lt;'Données projet'!$A$36,$K$205^A27,IF(A27='Données projet'!$A$36,'Données projet'!$B$36,N26+M27-V26)))</f>
        <v>131.66666666666669</v>
      </c>
      <c r="O27" s="14">
        <f>N27*VLOOKUP('Données projet'!$B$9,Paramètres!$A$1:$I$89,3,0)*VLOOKUP('Données projet'!$B$9,Paramètres!$A$1:$I$89,5,0)</f>
        <v>78.736666666666679</v>
      </c>
      <c r="P27" s="14">
        <f t="shared" si="33"/>
        <v>21.828006984037064</v>
      </c>
      <c r="Q27" s="22">
        <f t="shared" si="2"/>
        <v>175.15013994164235</v>
      </c>
      <c r="R27" s="62">
        <f t="shared" si="0"/>
        <v>400.92084812526218</v>
      </c>
      <c r="S27" s="62">
        <f ca="1">AVERAGE(OFFSET($R$3,0,0,'Données projet'!$E$9+1,1))-AVERAGE(OFFSET($H$3,0,0,'Données projet'!$E$9+1,1))</f>
        <v>394.69391436029986</v>
      </c>
      <c r="T27" s="62">
        <f t="shared" si="34"/>
        <v>311.37245656657353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5.416599311366614</v>
      </c>
      <c r="AC27" s="24">
        <f t="shared" si="3"/>
        <v>5.416599311366614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9.15</v>
      </c>
      <c r="AI27" s="14">
        <f>IF('Données projet'!$A$62&gt;35,AI26+AH27-AQ26,IF(A27&lt;'Données projet'!$A$62,$AF$205^A27,IF(A27='Données projet'!$A$62,'Données projet'!$B$62,AI26+AH27-AQ26)))</f>
        <v>155.10000000000002</v>
      </c>
      <c r="AJ27" s="14">
        <f>AI27*VLOOKUP('Données projet'!$B$10,Paramètres!$A$1:$I$89,3,0)*VLOOKUP('Données projet'!$B$10,Paramètres!$A$1:$I$89,5,0)</f>
        <v>72.586800000000011</v>
      </c>
      <c r="AK27" s="14">
        <f t="shared" si="35"/>
        <v>20.314488197199065</v>
      </c>
      <c r="AL27" s="22">
        <f t="shared" si="4"/>
        <v>161.80307694345507</v>
      </c>
      <c r="AM27" s="62">
        <f t="shared" si="5"/>
        <v>387.57378512707487</v>
      </c>
      <c r="AN27" s="62">
        <f ca="1">AVERAGE(OFFSET($AM$3,0,0,'Données projet'!$E$10+1,1))-AVERAGE(OFFSET($H$3,0,0,'Données projet'!$E$10+1,1))</f>
        <v>215.50514301701057</v>
      </c>
      <c r="AO27" s="62">
        <f t="shared" si="36"/>
        <v>273.18950868898253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5.2326115630185628</v>
      </c>
      <c r="AX27" s="23">
        <f t="shared" si="6"/>
        <v>5.2326115630185628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2.8</v>
      </c>
      <c r="BD27" s="13">
        <f>IF('Données projet'!$A$88&gt;35,BD26+BC27-BL26,IF(A27&lt;'Données projet'!$A$88,$BA$205^A27,IF(A27='Données projet'!$A$88,'Données projet'!$B$88,BD26+BC27-BL26)))</f>
        <v>59.060091900479499</v>
      </c>
      <c r="BE27" s="14">
        <f>BD27*VLOOKUP('Données projet'!$B$11,Paramètres!$A$1:$I$89,3,0)*VLOOKUP('Données projet'!$B$11,Paramètres!$A$1:$I$89,5,0)</f>
        <v>59.886933187086214</v>
      </c>
      <c r="BF27" s="14">
        <f t="shared" si="37"/>
        <v>17.139679037265701</v>
      </c>
      <c r="BG27" s="22">
        <f t="shared" si="7"/>
        <v>134.15468295741289</v>
      </c>
      <c r="BH27" s="62">
        <f t="shared" si="8"/>
        <v>359.92539114103272</v>
      </c>
      <c r="BI27" s="62">
        <f ca="1">AVERAGE(OFFSET($BH$3,0,0,'Données projet'!$E$11+1,1))-AVERAGE(OFFSET($H$3,0,0,'Données projet'!$E$11+1,1))</f>
        <v>396.06968288200386</v>
      </c>
      <c r="BJ27" s="62">
        <f t="shared" si="38"/>
        <v>273.35778700650792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144</v>
      </c>
      <c r="L28" s="13">
        <f>VLOOKUP(A28,'Données projet'!$A$35:$I$55,9,0)</f>
        <v>12.333333333333334</v>
      </c>
      <c r="M28" s="13">
        <f t="array" ref="M28">INDEX(L:L,MIN(IF(ISNUMBER(L28:L224),ROW(L28:L224),"")))</f>
        <v>12.333333333333334</v>
      </c>
      <c r="N28" s="14">
        <f>IF('Données projet'!$A$36&gt;35,N27+M28-V27,IF(A28&lt;'Données projet'!$A$36,$K$205^A28,IF(A28='Données projet'!$A$36,'Données projet'!$B$36,N27+M28-V27)))</f>
        <v>144.00000000000003</v>
      </c>
      <c r="O28" s="14">
        <f>N28*VLOOKUP('Données projet'!$B$9,Paramètres!$A$1:$I$89,3,0)*VLOOKUP('Données projet'!$B$9,Paramètres!$A$1:$I$89,5,0)</f>
        <v>86.112000000000009</v>
      </c>
      <c r="P28" s="14">
        <f t="shared" si="33"/>
        <v>23.625136642852297</v>
      </c>
      <c r="Q28" s="22">
        <f t="shared" si="2"/>
        <v>191.12551298630106</v>
      </c>
      <c r="R28" s="62">
        <f t="shared" si="0"/>
        <v>419.16328695263314</v>
      </c>
      <c r="S28" s="62">
        <f ca="1">AVERAGE(OFFSET($R$3,0,0,'Données projet'!$E$9+1,1))-AVERAGE(OFFSET($H$3,0,0,'Données projet'!$E$9+1,1))</f>
        <v>394.69391436029986</v>
      </c>
      <c r="T28" s="62">
        <f t="shared" si="34"/>
        <v>311.37245656657353</v>
      </c>
      <c r="U28" s="16">
        <f>IF(ISNA(VLOOKUP(A28,'Données projet'!$A$35:$I$55,3,0)),0,VLOOKUP(A28,'Données projet'!$A$35:$I$55,3,0))</f>
        <v>2</v>
      </c>
      <c r="V28" s="16">
        <f>IF(ISNA(VLOOKUP(A28,'Données projet'!$A$35:$I$55,4,0)),0,VLOOKUP(A28,'Données projet'!$A$35:$I$55,4,0))</f>
        <v>17</v>
      </c>
      <c r="W28" s="17">
        <f>IF(ISNA(VLOOKUP(A28,'Données projet'!$A$35:$I$55,5,0)),0%,VLOOKUP(A28,'Données projet'!$A$35:$I$55,5,0)*VLOOKUP('Données projet'!$B$9,Paramètres!$A$1:$I$89,7,0))</f>
        <v>4.5000000000000005E-2</v>
      </c>
      <c r="X28" s="17">
        <f>IF(ISNA(VLOOKUP(A28,'Données projet'!$A$35:$I$55,6,0)),0%,VLOOKUP(A28,'Données projet'!$A$35:$I$55,6,0)*VLOOKUP('Données projet'!$B$9,Paramètres!$A$1:$I$89,7,0))</f>
        <v>4.5000000000000005E-2</v>
      </c>
      <c r="Y28" s="17">
        <f>IF(ISNA(VLOOKUP(A28,'Données projet'!$A$35:$I$55,7,0)),0%,VLOOKUP(A28,'Données projet'!$A$35:$I$55,7,0))</f>
        <v>0.8</v>
      </c>
      <c r="Z28" s="23">
        <f>EXP(-LN(2)/35)*Z27+(1-EXP(-LN(2)/35))/(LN(2)/35)*V28*W28*VLOOKUP('Données projet'!$B$9,Paramètres!$A$1:$I$89,3,0)*0.475*44/12</f>
        <v>0.60686344142992654</v>
      </c>
      <c r="AA28" s="23">
        <f>EXP(-LN(2)/25)*AA27+(1-EXP(-LN(2)/25))/(LN(2)/25)*Calculateur!V28*Calculateur!X28*VLOOKUP('Données projet'!$B$9,Paramètres!$A$1:$I$89,3,0)*0.475*44/12</f>
        <v>0.60447398882791736</v>
      </c>
      <c r="AB28" s="23">
        <f>EXP(-LN(2)/2)*AB27+(1-EXP(-LN(2)/2))/(LN(2)/2)*V28*Y28*VLOOKUP('Données projet'!$B$9,Paramètres!$A$1:$I$89,3,0)*0.475*44/12</f>
        <v>13.038332933360959</v>
      </c>
      <c r="AC28" s="24">
        <f t="shared" si="3"/>
        <v>14.249670363618803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9.15</v>
      </c>
      <c r="AI28" s="14">
        <f>IF('Données projet'!$A$62&gt;35,AI27+AH28-AQ27,IF(A28&lt;'Données projet'!$A$62,$AF$205^A28,IF(A28='Données projet'!$A$62,'Données projet'!$B$62,AI27+AH28-AQ27)))</f>
        <v>164.25000000000003</v>
      </c>
      <c r="AJ28" s="14">
        <f>AI28*VLOOKUP('Données projet'!$B$10,Paramètres!$A$1:$I$89,3,0)*VLOOKUP('Données projet'!$B$10,Paramètres!$A$1:$I$89,5,0)</f>
        <v>76.869000000000014</v>
      </c>
      <c r="AK28" s="14">
        <f t="shared" si="35"/>
        <v>21.36986865355864</v>
      </c>
      <c r="AL28" s="22">
        <f t="shared" si="4"/>
        <v>171.09936290494795</v>
      </c>
      <c r="AM28" s="62">
        <f t="shared" si="5"/>
        <v>399.13713687128006</v>
      </c>
      <c r="AN28" s="62">
        <f ca="1">AVERAGE(OFFSET($AM$3,0,0,'Données projet'!$E$10+1,1))-AVERAGE(OFFSET($H$3,0,0,'Données projet'!$E$10+1,1))</f>
        <v>215.50514301701057</v>
      </c>
      <c r="AO28" s="62">
        <f t="shared" si="36"/>
        <v>273.18950868898253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3.7000151195255655</v>
      </c>
      <c r="AX28" s="23">
        <f t="shared" si="6"/>
        <v>3.7000151195255655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70</v>
      </c>
      <c r="BB28" s="13">
        <f>VLOOKUP(A28,'Données projet'!$A$87:$I$107,9,0)</f>
        <v>2.8</v>
      </c>
      <c r="BC28" s="13">
        <f t="array" ref="BC28">INDEX(BB:BB,MIN(IF(ISNUMBER(BB28:BB224),ROW(BB28:BB224),"")))</f>
        <v>2.8</v>
      </c>
      <c r="BD28" s="13">
        <f>IF('Données projet'!$A$88&gt;35,BD27+BC28-BL27,IF(A28&lt;'Données projet'!$A$88,$BA$205^A28,IF(A28='Données projet'!$A$88,'Données projet'!$B$88,BD27+BC28-BL27)))</f>
        <v>70</v>
      </c>
      <c r="BE28" s="14">
        <f>BD28*VLOOKUP('Données projet'!$B$11,Paramètres!$A$1:$I$89,3,0)*VLOOKUP('Données projet'!$B$11,Paramètres!$A$1:$I$89,5,0)</f>
        <v>70.98</v>
      </c>
      <c r="BF28" s="14">
        <f t="shared" si="37"/>
        <v>19.916628839746853</v>
      </c>
      <c r="BG28" s="22">
        <f t="shared" si="7"/>
        <v>158.31162856255909</v>
      </c>
      <c r="BH28" s="62">
        <f t="shared" si="8"/>
        <v>386.34940252889123</v>
      </c>
      <c r="BI28" s="62">
        <f ca="1">AVERAGE(OFFSET($BH$3,0,0,'Données projet'!$E$11+1,1))-AVERAGE(OFFSET($H$3,0,0,'Données projet'!$E$11+1,1))</f>
        <v>396.06968288200386</v>
      </c>
      <c r="BJ28" s="62">
        <f t="shared" si="38"/>
        <v>273.35778700650792</v>
      </c>
      <c r="BK28" s="16">
        <f>IF(ISNA(VLOOKUP(A28,'Données projet'!$A$87:$I$107,3,0)),0,VLOOKUP(A28,'Données projet'!$A$87:$I$107,3,0))</f>
        <v>1</v>
      </c>
      <c r="BL28" s="16">
        <f>IF(ISNA(VLOOKUP(A28,'Données projet'!$A$87:$I$107,4,0)),0,VLOOKUP(A28,'Données projet'!$A$87:$I$107,4,0))</f>
        <v>8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13.4</v>
      </c>
      <c r="N29" s="14">
        <f>IF('Données projet'!$A$36&gt;35,N28+M29-V28,IF(A29&lt;'Données projet'!$A$36,$K$205^A29,IF(A29='Données projet'!$A$36,'Données projet'!$B$36,N28+M29-V28)))</f>
        <v>140.40000000000003</v>
      </c>
      <c r="O29" s="14">
        <f>N29*VLOOKUP('Données projet'!$B$9,Paramètres!$A$1:$I$89,3,0)*VLOOKUP('Données projet'!$B$9,Paramètres!$A$1:$I$89,5,0)</f>
        <v>83.959200000000024</v>
      </c>
      <c r="P29" s="14">
        <f t="shared" si="33"/>
        <v>23.102490880810642</v>
      </c>
      <c r="Q29" s="22">
        <f t="shared" si="2"/>
        <v>186.46577828407854</v>
      </c>
      <c r="R29" s="62">
        <f t="shared" si="0"/>
        <v>416.75249233326872</v>
      </c>
      <c r="S29" s="62">
        <f ca="1">AVERAGE(OFFSET($R$3,0,0,'Données projet'!$E$9+1,1))-AVERAGE(OFFSET($H$3,0,0,'Données projet'!$E$9+1,1))</f>
        <v>394.69391436029986</v>
      </c>
      <c r="T29" s="62">
        <f t="shared" si="34"/>
        <v>311.37245656657353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0.59496321949363562</v>
      </c>
      <c r="AA29" s="23">
        <f>EXP(-LN(2)/25)*AA28+(1-EXP(-LN(2)/25))/(LN(2)/25)*Calculateur!V29*Calculateur!X29*VLOOKUP('Données projet'!$B$9,Paramètres!$A$1:$I$89,3,0)*0.475*44/12</f>
        <v>0.58794461581551238</v>
      </c>
      <c r="AB29" s="23">
        <f>EXP(-LN(2)/2)*AB28+(1-EXP(-LN(2)/2))/(LN(2)/2)*V29*Y29*VLOOKUP('Données projet'!$B$9,Paramètres!$A$1:$I$89,3,0)*0.475*44/12</f>
        <v>9.2194936325474242</v>
      </c>
      <c r="AC29" s="24">
        <f t="shared" si="3"/>
        <v>10.402401467856572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9.15</v>
      </c>
      <c r="AI29" s="14">
        <f>IF('Données projet'!$A$62&gt;35,AI28+AH29-AQ28,IF(A29&lt;'Données projet'!$A$62,$AF$205^A29,IF(A29='Données projet'!$A$62,'Données projet'!$B$62,AI28+AH29-AQ28)))</f>
        <v>173.40000000000003</v>
      </c>
      <c r="AJ29" s="14">
        <f>AI29*VLOOKUP('Données projet'!$B$10,Paramètres!$A$1:$I$89,3,0)*VLOOKUP('Données projet'!$B$10,Paramètres!$A$1:$I$89,5,0)</f>
        <v>81.151200000000017</v>
      </c>
      <c r="AK29" s="14">
        <f t="shared" si="35"/>
        <v>22.418424032002342</v>
      </c>
      <c r="AL29" s="22">
        <f t="shared" si="4"/>
        <v>180.38376185573745</v>
      </c>
      <c r="AM29" s="62">
        <f t="shared" si="5"/>
        <v>410.67047590492763</v>
      </c>
      <c r="AN29" s="62">
        <f ca="1">AVERAGE(OFFSET($AM$3,0,0,'Données projet'!$E$10+1,1))-AVERAGE(OFFSET($H$3,0,0,'Données projet'!$E$10+1,1))</f>
        <v>215.50514301701057</v>
      </c>
      <c r="AO29" s="62">
        <f t="shared" si="36"/>
        <v>273.18950868898253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2.6163057815092818</v>
      </c>
      <c r="AX29" s="23">
        <f t="shared" si="6"/>
        <v>2.6163057815092818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7</v>
      </c>
      <c r="BD29" s="13">
        <f>IF('Données projet'!$A$88&gt;35,BD28+BC29-BL28,IF(A29&lt;'Données projet'!$A$88,$BA$205^A29,IF(A29='Données projet'!$A$88,'Données projet'!$B$88,BD28+BC29-BL28)))</f>
        <v>69</v>
      </c>
      <c r="BE29" s="14">
        <f>BD29*VLOOKUP('Données projet'!$B$11,Paramètres!$A$1:$I$89,3,0)*VLOOKUP('Données projet'!$B$11,Paramètres!$A$1:$I$89,5,0)</f>
        <v>69.966000000000008</v>
      </c>
      <c r="BF29" s="14">
        <f t="shared" si="37"/>
        <v>19.665013934342461</v>
      </c>
      <c r="BG29" s="22">
        <f t="shared" si="7"/>
        <v>156.10734926897979</v>
      </c>
      <c r="BH29" s="62">
        <f t="shared" si="8"/>
        <v>386.39406331816997</v>
      </c>
      <c r="BI29" s="62">
        <f ca="1">AVERAGE(OFFSET($BH$3,0,0,'Données projet'!$E$11+1,1))-AVERAGE(OFFSET($H$3,0,0,'Données projet'!$E$11+1,1))</f>
        <v>396.06968288200386</v>
      </c>
      <c r="BJ29" s="62">
        <f t="shared" si="38"/>
        <v>273.35778700650792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13.4</v>
      </c>
      <c r="N30" s="14">
        <f>IF('Données projet'!$A$36&gt;35,N29+M30-V29,IF(A30&lt;'Données projet'!$A$36,$K$205^A30,IF(A30='Données projet'!$A$36,'Données projet'!$B$36,N29+M30-V29)))</f>
        <v>153.80000000000004</v>
      </c>
      <c r="O30" s="14">
        <f>N30*VLOOKUP('Données projet'!$B$9,Paramètres!$A$1:$I$89,3,0)*VLOOKUP('Données projet'!$B$9,Paramètres!$A$1:$I$89,5,0)</f>
        <v>91.972400000000022</v>
      </c>
      <c r="P30" s="14">
        <f t="shared" si="33"/>
        <v>25.040318527820091</v>
      </c>
      <c r="Q30" s="22">
        <f t="shared" si="2"/>
        <v>203.79715143595334</v>
      </c>
      <c r="R30" s="62">
        <f t="shared" si="0"/>
        <v>436.31499430851682</v>
      </c>
      <c r="S30" s="62">
        <f ca="1">AVERAGE(OFFSET($R$3,0,0,'Données projet'!$E$9+1,1))-AVERAGE(OFFSET($H$3,0,0,'Données projet'!$E$9+1,1))</f>
        <v>394.69391436029986</v>
      </c>
      <c r="T30" s="62">
        <f t="shared" si="34"/>
        <v>311.37245656657353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0.58329635365109678</v>
      </c>
      <c r="AA30" s="23">
        <f>EXP(-LN(2)/25)*AA29+(1-EXP(-LN(2)/25))/(LN(2)/25)*Calculateur!V30*Calculateur!X30*VLOOKUP('Données projet'!$B$9,Paramètres!$A$1:$I$89,3,0)*0.475*44/12</f>
        <v>0.5718672393773736</v>
      </c>
      <c r="AB30" s="23">
        <f>EXP(-LN(2)/2)*AB29+(1-EXP(-LN(2)/2))/(LN(2)/2)*V30*Y30*VLOOKUP('Données projet'!$B$9,Paramètres!$A$1:$I$89,3,0)*0.475*44/12</f>
        <v>6.5191664666804803</v>
      </c>
      <c r="AC30" s="24">
        <f t="shared" si="3"/>
        <v>7.6743300597089501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9.15</v>
      </c>
      <c r="AI30" s="14">
        <f>IF('Données projet'!$A$62&gt;35,AI29+AH30-AQ29,IF(A30&lt;'Données projet'!$A$62,$AF$205^A30,IF(A30='Données projet'!$A$62,'Données projet'!$B$62,AI29+AH30-AQ29)))</f>
        <v>182.55000000000004</v>
      </c>
      <c r="AJ30" s="14">
        <f>AI30*VLOOKUP('Données projet'!$B$10,Paramètres!$A$1:$I$89,3,0)*VLOOKUP('Données projet'!$B$10,Paramètres!$A$1:$I$89,5,0)</f>
        <v>85.43340000000002</v>
      </c>
      <c r="AK30" s="14">
        <f t="shared" si="35"/>
        <v>23.460555550110801</v>
      </c>
      <c r="AL30" s="22">
        <f t="shared" si="4"/>
        <v>189.65697258310968</v>
      </c>
      <c r="AM30" s="62">
        <f t="shared" si="5"/>
        <v>422.17481545567318</v>
      </c>
      <c r="AN30" s="62">
        <f ca="1">AVERAGE(OFFSET($AM$3,0,0,'Données projet'!$E$10+1,1))-AVERAGE(OFFSET($H$3,0,0,'Données projet'!$E$10+1,1))</f>
        <v>215.50514301701057</v>
      </c>
      <c r="AO30" s="62">
        <f t="shared" si="36"/>
        <v>273.18950868898253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1.8500075597627832</v>
      </c>
      <c r="AX30" s="23">
        <f t="shared" si="6"/>
        <v>1.8500075597627832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7</v>
      </c>
      <c r="BD30" s="13">
        <f>IF('Données projet'!$A$88&gt;35,BD29+BC30-BL29,IF(A30&lt;'Données projet'!$A$88,$BA$205^A30,IF(A30='Données projet'!$A$88,'Données projet'!$B$88,BD29+BC30-BL29)))</f>
        <v>76</v>
      </c>
      <c r="BE30" s="14">
        <f>BD30*VLOOKUP('Données projet'!$B$11,Paramètres!$A$1:$I$89,3,0)*VLOOKUP('Données projet'!$B$11,Paramètres!$A$1:$I$89,5,0)</f>
        <v>77.064000000000007</v>
      </c>
      <c r="BF30" s="14">
        <f t="shared" si="37"/>
        <v>21.417762186678065</v>
      </c>
      <c r="BG30" s="22">
        <f t="shared" si="7"/>
        <v>171.52240247513097</v>
      </c>
      <c r="BH30" s="62">
        <f t="shared" si="8"/>
        <v>404.04024534769451</v>
      </c>
      <c r="BI30" s="62">
        <f ca="1">AVERAGE(OFFSET($BH$3,0,0,'Données projet'!$E$11+1,1))-AVERAGE(OFFSET($H$3,0,0,'Données projet'!$E$11+1,1))</f>
        <v>396.06968288200386</v>
      </c>
      <c r="BJ30" s="62">
        <f t="shared" si="38"/>
        <v>273.35778700650792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13.4</v>
      </c>
      <c r="N31" s="14">
        <f>IF('Données projet'!$A$36&gt;35,N30+M31-V30,IF(A31&lt;'Données projet'!$A$36,$K$205^A31,IF(A31='Données projet'!$A$36,'Données projet'!$B$36,N30+M31-V30)))</f>
        <v>167.20000000000005</v>
      </c>
      <c r="O31" s="14">
        <f>N31*VLOOKUP('Données projet'!$B$9,Paramètres!$A$1:$I$89,3,0)*VLOOKUP('Données projet'!$B$9,Paramètres!$A$1:$I$89,5,0)</f>
        <v>99.985600000000034</v>
      </c>
      <c r="P31" s="14">
        <f t="shared" si="33"/>
        <v>26.958566918169435</v>
      </c>
      <c r="Q31" s="22">
        <f t="shared" si="2"/>
        <v>221.09442404914515</v>
      </c>
      <c r="R31" s="62">
        <f t="shared" si="0"/>
        <v>455.82589347112923</v>
      </c>
      <c r="S31" s="62">
        <f ca="1">AVERAGE(OFFSET($R$3,0,0,'Données projet'!$E$9+1,1))-AVERAGE(OFFSET($H$3,0,0,'Données projet'!$E$9+1,1))</f>
        <v>394.69391436029986</v>
      </c>
      <c r="T31" s="62">
        <f t="shared" si="34"/>
        <v>311.37245656657353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0.57185826793164451</v>
      </c>
      <c r="AA31" s="23">
        <f>EXP(-LN(2)/25)*AA30+(1-EXP(-LN(2)/25))/(LN(2)/25)*Calculateur!V31*Calculateur!X31*VLOOKUP('Données projet'!$B$9,Paramètres!$A$1:$I$89,3,0)*0.475*44/12</f>
        <v>0.55622949964340818</v>
      </c>
      <c r="AB31" s="23">
        <f>EXP(-LN(2)/2)*AB30+(1-EXP(-LN(2)/2))/(LN(2)/2)*V31*Y31*VLOOKUP('Données projet'!$B$9,Paramètres!$A$1:$I$89,3,0)*0.475*44/12</f>
        <v>4.609746816273713</v>
      </c>
      <c r="AC31" s="24">
        <f t="shared" si="3"/>
        <v>5.7378345838487661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9.15</v>
      </c>
      <c r="AI31" s="14">
        <f>IF('Données projet'!$A$62&gt;35,AI30+AH31-AQ30,IF(A31&lt;'Données projet'!$A$62,$AF$205^A31,IF(A31='Données projet'!$A$62,'Données projet'!$B$62,AI30+AH31-AQ30)))</f>
        <v>191.70000000000005</v>
      </c>
      <c r="AJ31" s="14">
        <f>AI31*VLOOKUP('Données projet'!$B$10,Paramètres!$A$1:$I$89,3,0)*VLOOKUP('Données projet'!$B$10,Paramètres!$A$1:$I$89,5,0)</f>
        <v>89.715600000000023</v>
      </c>
      <c r="AK31" s="14">
        <f t="shared" si="35"/>
        <v>24.496621932784496</v>
      </c>
      <c r="AL31" s="22">
        <f t="shared" si="4"/>
        <v>198.91961986626634</v>
      </c>
      <c r="AM31" s="62">
        <f t="shared" si="5"/>
        <v>433.65108928825043</v>
      </c>
      <c r="AN31" s="62">
        <f ca="1">AVERAGE(OFFSET($AM$3,0,0,'Données projet'!$E$10+1,1))-AVERAGE(OFFSET($H$3,0,0,'Données projet'!$E$10+1,1))</f>
        <v>215.50514301701057</v>
      </c>
      <c r="AO31" s="62">
        <f t="shared" si="36"/>
        <v>273.18950868898253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1.3081528907546411</v>
      </c>
      <c r="AX31" s="23">
        <f t="shared" si="6"/>
        <v>1.3081528907546411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7</v>
      </c>
      <c r="BD31" s="13">
        <f>IF('Données projet'!$A$88&gt;35,BD30+BC31-BL30,IF(A31&lt;'Données projet'!$A$88,$BA$205^A31,IF(A31='Données projet'!$A$88,'Données projet'!$B$88,BD30+BC31-BL30)))</f>
        <v>83</v>
      </c>
      <c r="BE31" s="14">
        <f>BD31*VLOOKUP('Données projet'!$B$11,Paramètres!$A$1:$I$89,3,0)*VLOOKUP('Données projet'!$B$11,Paramètres!$A$1:$I$89,5,0)</f>
        <v>84.162000000000006</v>
      </c>
      <c r="BF31" s="14">
        <f t="shared" si="37"/>
        <v>23.151791590506594</v>
      </c>
      <c r="BG31" s="22">
        <f t="shared" si="7"/>
        <v>186.90485368679899</v>
      </c>
      <c r="BH31" s="62">
        <f t="shared" si="8"/>
        <v>421.63632310878307</v>
      </c>
      <c r="BI31" s="62">
        <f ca="1">AVERAGE(OFFSET($BH$3,0,0,'Données projet'!$E$11+1,1))-AVERAGE(OFFSET($H$3,0,0,'Données projet'!$E$11+1,1))</f>
        <v>396.06968288200386</v>
      </c>
      <c r="BJ31" s="62">
        <f t="shared" si="38"/>
        <v>273.35778700650792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13.4</v>
      </c>
      <c r="N32" s="14">
        <f>IF('Données projet'!$A$36&gt;35,N31+M32-V31,IF(A32&lt;'Données projet'!$A$36,$K$205^A32,IF(A32='Données projet'!$A$36,'Données projet'!$B$36,N31+M32-V31)))</f>
        <v>180.60000000000005</v>
      </c>
      <c r="O32" s="14">
        <f>N32*VLOOKUP('Données projet'!$B$9,Paramètres!$A$1:$I$89,3,0)*VLOOKUP('Données projet'!$B$9,Paramètres!$A$1:$I$89,5,0)</f>
        <v>107.99880000000003</v>
      </c>
      <c r="P32" s="14">
        <f t="shared" si="33"/>
        <v>28.85898360070161</v>
      </c>
      <c r="Q32" s="22">
        <f t="shared" si="2"/>
        <v>238.36063977122203</v>
      </c>
      <c r="R32" s="62">
        <f t="shared" si="0"/>
        <v>475.28853709399789</v>
      </c>
      <c r="S32" s="62">
        <f ca="1">AVERAGE(OFFSET($R$3,0,0,'Données projet'!$E$9+1,1))-AVERAGE(OFFSET($H$3,0,0,'Données projet'!$E$9+1,1))</f>
        <v>394.69391436029986</v>
      </c>
      <c r="T32" s="62">
        <f t="shared" si="34"/>
        <v>311.37245656657353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0.56064447609660739</v>
      </c>
      <c r="AA32" s="23">
        <f>EXP(-LN(2)/25)*AA31+(1-EXP(-LN(2)/25))/(LN(2)/25)*Calculateur!V32*Calculateur!X32*VLOOKUP('Données projet'!$B$9,Paramètres!$A$1:$I$89,3,0)*0.475*44/12</f>
        <v>0.54101937472482109</v>
      </c>
      <c r="AB32" s="23">
        <f>EXP(-LN(2)/2)*AB31+(1-EXP(-LN(2)/2))/(LN(2)/2)*V32*Y32*VLOOKUP('Données projet'!$B$9,Paramètres!$A$1:$I$89,3,0)*0.475*44/12</f>
        <v>3.2595832333402406</v>
      </c>
      <c r="AC32" s="24">
        <f t="shared" si="3"/>
        <v>4.3612470841616693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9.15</v>
      </c>
      <c r="AI32" s="14">
        <f>IF('Données projet'!$A$62&gt;35,AI31+AH32-AQ31,IF(A32&lt;'Données projet'!$A$62,$AF$205^A32,IF(A32='Données projet'!$A$62,'Données projet'!$B$62,AI31+AH32-AQ31)))</f>
        <v>200.85000000000005</v>
      </c>
      <c r="AJ32" s="14">
        <f>AI32*VLOOKUP('Données projet'!$B$10,Paramètres!$A$1:$I$89,3,0)*VLOOKUP('Données projet'!$B$10,Paramètres!$A$1:$I$89,5,0)</f>
        <v>93.997800000000012</v>
      </c>
      <c r="AK32" s="14">
        <f t="shared" si="35"/>
        <v>25.526945725475453</v>
      </c>
      <c r="AL32" s="22">
        <f t="shared" si="4"/>
        <v>208.17226547186976</v>
      </c>
      <c r="AM32" s="62">
        <f t="shared" si="5"/>
        <v>445.1001627946456</v>
      </c>
      <c r="AN32" s="62">
        <f ca="1">AVERAGE(OFFSET($AM$3,0,0,'Données projet'!$E$10+1,1))-AVERAGE(OFFSET($H$3,0,0,'Données projet'!$E$10+1,1))</f>
        <v>215.50514301701057</v>
      </c>
      <c r="AO32" s="62">
        <f t="shared" si="36"/>
        <v>273.18950868898253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0.92500377988139171</v>
      </c>
      <c r="AX32" s="23">
        <f t="shared" si="6"/>
        <v>0.92500377988139171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7</v>
      </c>
      <c r="BD32" s="13">
        <f>IF('Données projet'!$A$88&gt;35,BD31+BC32-BL31,IF(A32&lt;'Données projet'!$A$88,$BA$205^A32,IF(A32='Données projet'!$A$88,'Données projet'!$B$88,BD31+BC32-BL31)))</f>
        <v>90</v>
      </c>
      <c r="BE32" s="14">
        <f>BD32*VLOOKUP('Données projet'!$B$11,Paramètres!$A$1:$I$89,3,0)*VLOOKUP('Données projet'!$B$11,Paramètres!$A$1:$I$89,5,0)</f>
        <v>91.26</v>
      </c>
      <c r="BF32" s="14">
        <f t="shared" si="37"/>
        <v>24.868860330902777</v>
      </c>
      <c r="BG32" s="22">
        <f t="shared" si="7"/>
        <v>202.25776507632233</v>
      </c>
      <c r="BH32" s="62">
        <f t="shared" si="8"/>
        <v>439.18566239909819</v>
      </c>
      <c r="BI32" s="62">
        <f ca="1">AVERAGE(OFFSET($BH$3,0,0,'Données projet'!$E$11+1,1))-AVERAGE(OFFSET($H$3,0,0,'Données projet'!$E$11+1,1))</f>
        <v>396.06968288200386</v>
      </c>
      <c r="BJ32" s="62">
        <f t="shared" si="38"/>
        <v>273.35778700650792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194</v>
      </c>
      <c r="L33" s="13">
        <f>VLOOKUP(A33,'Données projet'!$A$35:$I$55,9,0)</f>
        <v>13.4</v>
      </c>
      <c r="M33" s="13">
        <f t="array" ref="M33">INDEX(L:L,MIN(IF(ISNUMBER(L33:L229),ROW(L33:L229),"")))</f>
        <v>13.4</v>
      </c>
      <c r="N33" s="14">
        <f>IF('Données projet'!$A$36&gt;35,N32+M33-V32,IF(A33&lt;'Données projet'!$A$36,$K$205^A33,IF(A33='Données projet'!$A$36,'Données projet'!$B$36,N32+M33-V32)))</f>
        <v>194.00000000000006</v>
      </c>
      <c r="O33" s="14">
        <f>N33*VLOOKUP('Données projet'!$B$9,Paramètres!$A$1:$I$89,3,0)*VLOOKUP('Données projet'!$B$9,Paramètres!$A$1:$I$89,5,0)</f>
        <v>116.01200000000003</v>
      </c>
      <c r="P33" s="14">
        <f t="shared" si="33"/>
        <v>30.743042086238173</v>
      </c>
      <c r="Q33" s="22">
        <f t="shared" si="2"/>
        <v>255.59836496686489</v>
      </c>
      <c r="R33" s="62">
        <f t="shared" si="0"/>
        <v>494.7057898999069</v>
      </c>
      <c r="S33" s="62">
        <f ca="1">AVERAGE(OFFSET($R$3,0,0,'Données projet'!$E$9+1,1))-AVERAGE(OFFSET($H$3,0,0,'Données projet'!$E$9+1,1))</f>
        <v>394.69391436029986</v>
      </c>
      <c r="T33" s="62">
        <f t="shared" si="34"/>
        <v>311.37245656657353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34</v>
      </c>
      <c r="W33" s="17">
        <f>IF(ISNA(VLOOKUP(A33,'Données projet'!$A$35:$I$55,5,0)),0%,VLOOKUP(A33,'Données projet'!$A$35:$I$55,5,0)*VLOOKUP('Données projet'!$B$9,Paramètres!$A$1:$I$89,7,0))</f>
        <v>4.5000000000000005E-2</v>
      </c>
      <c r="X33" s="17">
        <f>IF(ISNA(VLOOKUP(A33,'Données projet'!$A$35:$I$55,6,0)),0%,VLOOKUP(A33,'Données projet'!$A$35:$I$55,6,0)*VLOOKUP('Données projet'!$B$9,Paramètres!$A$1:$I$89,7,0))</f>
        <v>4.5000000000000005E-2</v>
      </c>
      <c r="Y33" s="17">
        <f>IF(ISNA(VLOOKUP(A33,'Données projet'!$A$35:$I$55,7,0)),0%,VLOOKUP(A33,'Données projet'!$A$35:$I$55,7,0))</f>
        <v>0.8</v>
      </c>
      <c r="Z33" s="23">
        <f>EXP(-LN(2)/35)*Z32+(1-EXP(-LN(2)/35))/(LN(2)/35)*V33*W33*VLOOKUP('Données projet'!$B$9,Paramètres!$A$1:$I$89,3,0)*0.475*44/12</f>
        <v>1.7633774627395709</v>
      </c>
      <c r="AA33" s="23">
        <f>EXP(-LN(2)/25)*AA32+(1-EXP(-LN(2)/25))/(LN(2)/25)*Calculateur!V33*Calculateur!X33*VLOOKUP('Données projet'!$B$9,Paramètres!$A$1:$I$89,3,0)*0.475*44/12</f>
        <v>1.7351731491278333</v>
      </c>
      <c r="AB33" s="23">
        <f>EXP(-LN(2)/2)*AB32+(1-EXP(-LN(2)/2))/(LN(2)/2)*V33*Y33*VLOOKUP('Données projet'!$B$9,Paramètres!$A$1:$I$89,3,0)*0.475*44/12</f>
        <v>20.72131106678334</v>
      </c>
      <c r="AC33" s="24">
        <f t="shared" si="3"/>
        <v>24.219861678650744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210</v>
      </c>
      <c r="AG33" s="13">
        <f>VLOOKUP(A33,'Données projet'!$A$61:$I$81,9,0)</f>
        <v>9.15</v>
      </c>
      <c r="AH33" s="13">
        <f t="array" ref="AH33">INDEX(AG:AG,MIN(IF(ISNUMBER(AG33:AG229),ROW(AG33:AG229),"")))</f>
        <v>9.15</v>
      </c>
      <c r="AI33" s="14">
        <f>IF('Données projet'!$A$62&gt;35,AI32+AH33-AQ32,IF(A33&lt;'Données projet'!$A$62,$AF$205^A33,IF(A33='Données projet'!$A$62,'Données projet'!$B$62,AI32+AH33-AQ32)))</f>
        <v>210.00000000000006</v>
      </c>
      <c r="AJ33" s="14">
        <f>AI33*VLOOKUP('Données projet'!$B$10,Paramètres!$A$1:$I$89,3,0)*VLOOKUP('Données projet'!$B$10,Paramètres!$A$1:$I$89,5,0)</f>
        <v>98.28000000000003</v>
      </c>
      <c r="AK33" s="14">
        <f t="shared" si="35"/>
        <v>26.551818424463473</v>
      </c>
      <c r="AL33" s="22">
        <f t="shared" si="4"/>
        <v>217.41541708927392</v>
      </c>
      <c r="AM33" s="62">
        <f t="shared" si="5"/>
        <v>456.5228420223159</v>
      </c>
      <c r="AN33" s="62">
        <f ca="1">AVERAGE(OFFSET($AM$3,0,0,'Données projet'!$E$10+1,1))-AVERAGE(OFFSET($H$3,0,0,'Données projet'!$E$10+1,1))</f>
        <v>215.50514301701057</v>
      </c>
      <c r="AO33" s="62">
        <f t="shared" si="36"/>
        <v>273.18950868898253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53</v>
      </c>
      <c r="AR33" s="17">
        <f>IF(ISNA(VLOOKUP(A33,'Données projet'!$A$61:$I$81,5,0)),0%,VLOOKUP(A33,'Données projet'!$A$61:$I$81,5,0)*VLOOKUP('Données projet'!$B$10,Paramètres!$A$1:$I$89,7,0))</f>
        <v>5.5000000000000007E-2</v>
      </c>
      <c r="AS33" s="17">
        <f>IF(ISNA(VLOOKUP(A33,'Données projet'!$A$61:$I$81,6,0)),0%,VLOOKUP(A33,'Données projet'!$A$61:$I$81,6,0)*VLOOKUP('Données projet'!$B$10,Paramètres!$A$1:$I$89,7,0))</f>
        <v>5.5000000000000007E-2</v>
      </c>
      <c r="AT33" s="17">
        <f>IF(ISNA(VLOOKUP(A33,'Données projet'!$A$61:$I$81,7,0)),0%,VLOOKUP(A33,'Données projet'!$A$61:$I$81,7,0))</f>
        <v>0.8</v>
      </c>
      <c r="AU33" s="23">
        <f>EXP(-LN(2)/35)*AU32+(1-EXP(-LN(2)/35))/(LN(2)/35)*AQ33*AR33*VLOOKUP('Données projet'!$B$10,Paramètres!$A$1:$I$89,3,0)*0.475*44/12</f>
        <v>1.80972576139973</v>
      </c>
      <c r="AV33" s="23">
        <f>EXP(-LN(2)/25)*AV32+(1-EXP(-LN(2)/25))/(LN(2)/25)*Calculateur!AQ33*Calculateur!AS33*VLOOKUP('Données projet'!$B$10,Paramètres!$A$1:$I$89,3,0)*0.475*44/12</f>
        <v>1.8026001815175237</v>
      </c>
      <c r="AW33" s="23">
        <f>EXP(-LN(2)/2)*AW32+(1-EXP(-LN(2)/2))/(LN(2)/2)*AQ33*AT33*VLOOKUP('Données projet'!$B$10,Paramètres!$A$1:$I$89,3,0)*0.475*44/12</f>
        <v>23.12118837165449</v>
      </c>
      <c r="AX33" s="23">
        <f t="shared" si="6"/>
        <v>26.733514314571742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97</v>
      </c>
      <c r="BB33" s="13">
        <f>VLOOKUP(A33,'Données projet'!$A$87:$I$107,9,0)</f>
        <v>7</v>
      </c>
      <c r="BC33" s="13">
        <f t="array" ref="BC33">INDEX(BB:BB,MIN(IF(ISNUMBER(BB33:BB229),ROW(BB33:BB229),"")))</f>
        <v>7</v>
      </c>
      <c r="BD33" s="13">
        <f>IF('Données projet'!$A$88&gt;35,BD32+BC33-BL32,IF(A33&lt;'Données projet'!$A$88,$BA$205^A33,IF(A33='Données projet'!$A$88,'Données projet'!$B$88,BD32+BC33-BL32)))</f>
        <v>97</v>
      </c>
      <c r="BE33" s="14">
        <f>BD33*VLOOKUP('Données projet'!$B$11,Paramètres!$A$1:$I$89,3,0)*VLOOKUP('Données projet'!$B$11,Paramètres!$A$1:$I$89,5,0)</f>
        <v>98.358000000000004</v>
      </c>
      <c r="BF33" s="14">
        <f t="shared" si="37"/>
        <v>26.570437554143126</v>
      </c>
      <c r="BG33" s="22">
        <f t="shared" si="7"/>
        <v>217.58369540679928</v>
      </c>
      <c r="BH33" s="62">
        <f t="shared" si="8"/>
        <v>456.69112033984129</v>
      </c>
      <c r="BI33" s="62">
        <f ca="1">AVERAGE(OFFSET($BH$3,0,0,'Données projet'!$E$11+1,1))-AVERAGE(OFFSET($H$3,0,0,'Données projet'!$E$11+1,1))</f>
        <v>396.06968288200386</v>
      </c>
      <c r="BJ33" s="62">
        <f t="shared" si="38"/>
        <v>273.35778700650792</v>
      </c>
      <c r="BK33" s="16">
        <f>IF(ISNA(VLOOKUP(A33,'Données projet'!$A$87:$I$107,3,0)),0,VLOOKUP(A33,'Données projet'!$A$87:$I$107,3,0))</f>
        <v>2</v>
      </c>
      <c r="BL33" s="16">
        <f>IF(ISNA(VLOOKUP(A33,'Données projet'!$A$87:$I$107,4,0)),0,VLOOKUP(A33,'Données projet'!$A$87:$I$107,4,0))</f>
        <v>21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14.6</v>
      </c>
      <c r="N34" s="14">
        <f>IF('Données projet'!$A$36&gt;35,N33+M34-V33,IF(A34&lt;'Données projet'!$A$36,$K$205^A34,IF(A34='Données projet'!$A$36,'Données projet'!$B$36,N33+M34-V33)))</f>
        <v>174.60000000000005</v>
      </c>
      <c r="O34" s="14">
        <f>N34*VLOOKUP('Données projet'!$B$9,Paramètres!$A$1:$I$89,3,0)*VLOOKUP('Données projet'!$B$9,Paramètres!$A$1:$I$89,5,0)</f>
        <v>104.41080000000004</v>
      </c>
      <c r="P34" s="14">
        <f t="shared" si="33"/>
        <v>28.010155571424168</v>
      </c>
      <c r="Q34" s="22">
        <f t="shared" si="2"/>
        <v>230.63316428689714</v>
      </c>
      <c r="R34" s="62">
        <f t="shared" si="0"/>
        <v>470.6812874997147</v>
      </c>
      <c r="S34" s="62">
        <f ca="1">AVERAGE(OFFSET($R$3,0,0,'Données projet'!$E$9+1,1))-AVERAGE(OFFSET($H$3,0,0,'Données projet'!$E$9+1,1))</f>
        <v>394.69391436029986</v>
      </c>
      <c r="T34" s="62">
        <f t="shared" si="34"/>
        <v>311.37245656657353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1.728798706249298</v>
      </c>
      <c r="AA34" s="23">
        <f>EXP(-LN(2)/25)*AA33+(1-EXP(-LN(2)/25))/(LN(2)/25)*Calculateur!V34*Calculateur!X34*VLOOKUP('Données projet'!$B$9,Paramètres!$A$1:$I$89,3,0)*0.475*44/12</f>
        <v>1.6877247481161426</v>
      </c>
      <c r="AB34" s="23">
        <f>EXP(-LN(2)/2)*AB33+(1-EXP(-LN(2)/2))/(LN(2)/2)*V34*Y34*VLOOKUP('Données projet'!$B$9,Paramètres!$A$1:$I$89,3,0)*0.475*44/12</f>
        <v>14.652179570398353</v>
      </c>
      <c r="AC34" s="24">
        <f t="shared" si="3"/>
        <v>18.068703024763792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</v>
      </c>
      <c r="AI34" s="14">
        <f>IF('Données projet'!$A$62&gt;35,AI33+AH34-AQ33,IF(A34&lt;'Données projet'!$A$62,$AF$205^A34,IF(A34='Données projet'!$A$62,'Données projet'!$B$62,AI33+AH34-AQ33)))</f>
        <v>167.00000000000006</v>
      </c>
      <c r="AJ34" s="14">
        <f>AI34*VLOOKUP('Données projet'!$B$10,Paramètres!$A$1:$I$89,3,0)*VLOOKUP('Données projet'!$B$10,Paramètres!$A$1:$I$89,5,0)</f>
        <v>78.15600000000002</v>
      </c>
      <c r="AK34" s="14">
        <f t="shared" si="35"/>
        <v>21.685706446534809</v>
      </c>
      <c r="AL34" s="22">
        <f t="shared" si="4"/>
        <v>173.89097206104816</v>
      </c>
      <c r="AM34" s="62">
        <f t="shared" si="5"/>
        <v>413.93909527386575</v>
      </c>
      <c r="AN34" s="62">
        <f ca="1">AVERAGE(OFFSET($AM$3,0,0,'Données projet'!$E$10+1,1))-AVERAGE(OFFSET($H$3,0,0,'Données projet'!$E$10+1,1))</f>
        <v>215.50514301701057</v>
      </c>
      <c r="AO34" s="62">
        <f t="shared" si="36"/>
        <v>273.18950868898253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1.7742381430424021</v>
      </c>
      <c r="AV34" s="23">
        <f>EXP(-LN(2)/25)*AV33+(1-EXP(-LN(2)/25))/(LN(2)/25)*Calculateur!AQ34*Calculateur!AS34*VLOOKUP('Données projet'!$B$10,Paramètres!$A$1:$I$89,3,0)*0.475*44/12</f>
        <v>1.7533079847593034</v>
      </c>
      <c r="AW34" s="23">
        <f>EXP(-LN(2)/2)*AW33+(1-EXP(-LN(2)/2))/(LN(2)/2)*AQ34*AT34*VLOOKUP('Données projet'!$B$10,Paramètres!$A$1:$I$89,3,0)*0.475*44/12</f>
        <v>16.349149086688438</v>
      </c>
      <c r="AX34" s="23">
        <f t="shared" si="6"/>
        <v>19.876695214490145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8</v>
      </c>
      <c r="BD34" s="13">
        <f>IF('Données projet'!$A$88&gt;35,BD33+BC34-BL33,IF(A34&lt;'Données projet'!$A$88,$BA$205^A34,IF(A34='Données projet'!$A$88,'Données projet'!$B$88,BD33+BC34-BL33)))</f>
        <v>84</v>
      </c>
      <c r="BE34" s="14">
        <f>BD34*VLOOKUP('Données projet'!$B$11,Paramètres!$A$1:$I$89,3,0)*VLOOKUP('Données projet'!$B$11,Paramètres!$A$1:$I$89,5,0)</f>
        <v>85.176000000000002</v>
      </c>
      <c r="BF34" s="14">
        <f t="shared" si="37"/>
        <v>23.398088487656441</v>
      </c>
      <c r="BG34" s="22">
        <f t="shared" si="7"/>
        <v>189.09987078266829</v>
      </c>
      <c r="BH34" s="62">
        <f t="shared" si="8"/>
        <v>429.14799399548588</v>
      </c>
      <c r="BI34" s="62">
        <f ca="1">AVERAGE(OFFSET($BH$3,0,0,'Données projet'!$E$11+1,1))-AVERAGE(OFFSET($H$3,0,0,'Données projet'!$E$11+1,1))</f>
        <v>396.06968288200386</v>
      </c>
      <c r="BJ34" s="62">
        <f t="shared" si="38"/>
        <v>273.35778700650792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14.6</v>
      </c>
      <c r="N35" s="14">
        <f>IF('Données projet'!$A$36&gt;35,N34+M35-V34,IF(A35&lt;'Données projet'!$A$36,$K$205^A35,IF(A35='Données projet'!$A$36,'Données projet'!$B$36,N34+M35-V34)))</f>
        <v>189.20000000000005</v>
      </c>
      <c r="O35" s="14">
        <f>N35*VLOOKUP('Données projet'!$B$9,Paramètres!$A$1:$I$89,3,0)*VLOOKUP('Données projet'!$B$9,Paramètres!$A$1:$I$89,5,0)</f>
        <v>113.14160000000004</v>
      </c>
      <c r="P35" s="14">
        <f t="shared" si="33"/>
        <v>30.069952587742019</v>
      </c>
      <c r="Q35" s="22">
        <f t="shared" ref="Q35:Q66" si="53">(O35+P35)*0.475*44/12</f>
        <v>249.42678742365072</v>
      </c>
      <c r="R35" s="62">
        <f t="shared" si="0"/>
        <v>490.39928990417604</v>
      </c>
      <c r="S35" s="62">
        <f ca="1">AVERAGE(OFFSET($R$3,0,0,'Données projet'!$E$9+1,1))-AVERAGE(OFFSET($H$3,0,0,'Données projet'!$E$9+1,1))</f>
        <v>394.69391436029986</v>
      </c>
      <c r="T35" s="62">
        <f t="shared" si="34"/>
        <v>311.37245656657353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1.6948980180828406</v>
      </c>
      <c r="AA35" s="23">
        <f>EXP(-LN(2)/25)*AA34+(1-EXP(-LN(2)/25))/(LN(2)/25)*Calculateur!V35*Calculateur!X35*VLOOKUP('Données projet'!$B$9,Paramètres!$A$1:$I$89,3,0)*0.475*44/12</f>
        <v>1.6415738261253194</v>
      </c>
      <c r="AB35" s="23">
        <f>EXP(-LN(2)/2)*AB34+(1-EXP(-LN(2)/2))/(LN(2)/2)*V35*Y35*VLOOKUP('Données projet'!$B$9,Paramètres!$A$1:$I$89,3,0)*0.475*44/12</f>
        <v>10.36065553339167</v>
      </c>
      <c r="AC35" s="24">
        <f t="shared" si="3"/>
        <v>13.697127377599831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</v>
      </c>
      <c r="AI35" s="14">
        <f>IF('Données projet'!$A$62&gt;35,AI34+AH35-AQ34,IF(A35&lt;'Données projet'!$A$62,$AF$205^A35,IF(A35='Données projet'!$A$62,'Données projet'!$B$62,AI34+AH35-AQ34)))</f>
        <v>177.00000000000006</v>
      </c>
      <c r="AJ35" s="14">
        <f>AI35*VLOOKUP('Données projet'!$B$10,Paramètres!$A$1:$I$89,3,0)*VLOOKUP('Données projet'!$B$10,Paramètres!$A$1:$I$89,5,0)</f>
        <v>82.836000000000027</v>
      </c>
      <c r="AK35" s="14">
        <f t="shared" si="35"/>
        <v>22.829188748646022</v>
      </c>
      <c r="AL35" s="22">
        <f t="shared" si="4"/>
        <v>184.03353707055851</v>
      </c>
      <c r="AM35" s="62">
        <f t="shared" si="5"/>
        <v>425.00603955108386</v>
      </c>
      <c r="AN35" s="62">
        <f ca="1">AVERAGE(OFFSET($AM$3,0,0,'Données projet'!$E$10+1,1))-AVERAGE(OFFSET($H$3,0,0,'Données projet'!$E$10+1,1))</f>
        <v>215.50514301701057</v>
      </c>
      <c r="AO35" s="62">
        <f t="shared" si="36"/>
        <v>273.18950868898253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1.7394464152357516</v>
      </c>
      <c r="AV35" s="23">
        <f>EXP(-LN(2)/25)*AV34+(1-EXP(-LN(2)/25))/(LN(2)/25)*Calculateur!AQ35*Calculateur!AS35*VLOOKUP('Données projet'!$B$10,Paramètres!$A$1:$I$89,3,0)*0.475*44/12</f>
        <v>1.7053636857136005</v>
      </c>
      <c r="AW35" s="23">
        <f>EXP(-LN(2)/2)*AW34+(1-EXP(-LN(2)/2))/(LN(2)/2)*AQ35*AT35*VLOOKUP('Données projet'!$B$10,Paramètres!$A$1:$I$89,3,0)*0.475*44/12</f>
        <v>11.560594185827245</v>
      </c>
      <c r="AX35" s="23">
        <f t="shared" si="6"/>
        <v>15.005404286776598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8</v>
      </c>
      <c r="BD35" s="13">
        <f>IF('Données projet'!$A$88&gt;35,BD34+BC35-BL34,IF(A35&lt;'Données projet'!$A$88,$BA$205^A35,IF(A35='Données projet'!$A$88,'Données projet'!$B$88,BD34+BC35-BL34)))</f>
        <v>92</v>
      </c>
      <c r="BE35" s="14">
        <f>BD35*VLOOKUP('Données projet'!$B$11,Paramètres!$A$1:$I$89,3,0)*VLOOKUP('Données projet'!$B$11,Paramètres!$A$1:$I$89,5,0)</f>
        <v>93.288000000000011</v>
      </c>
      <c r="BF35" s="14">
        <f t="shared" si="37"/>
        <v>25.356547829040977</v>
      </c>
      <c r="BG35" s="22">
        <f t="shared" si="7"/>
        <v>206.63925413557971</v>
      </c>
      <c r="BH35" s="62">
        <f t="shared" si="8"/>
        <v>447.61175661610503</v>
      </c>
      <c r="BI35" s="62">
        <f ca="1">AVERAGE(OFFSET($BH$3,0,0,'Données projet'!$E$11+1,1))-AVERAGE(OFFSET($H$3,0,0,'Données projet'!$E$11+1,1))</f>
        <v>396.06968288200386</v>
      </c>
      <c r="BJ35" s="62">
        <f t="shared" si="38"/>
        <v>273.35778700650792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14.6</v>
      </c>
      <c r="N36" s="14">
        <f>IF('Données projet'!$A$36&gt;35,N35+M36-V35,IF(A36&lt;'Données projet'!$A$36,$K$205^A36,IF(A36='Données projet'!$A$36,'Données projet'!$B$36,N35+M36-V35)))</f>
        <v>203.80000000000004</v>
      </c>
      <c r="O36" s="14">
        <f>N36*VLOOKUP('Données projet'!$B$9,Paramètres!$A$1:$I$89,3,0)*VLOOKUP('Données projet'!$B$9,Paramètres!$A$1:$I$89,5,0)</f>
        <v>121.87240000000003</v>
      </c>
      <c r="P36" s="14">
        <f t="shared" si="33"/>
        <v>32.111311550408985</v>
      </c>
      <c r="Q36" s="22">
        <f t="shared" si="53"/>
        <v>268.1882976169623</v>
      </c>
      <c r="R36" s="62">
        <f t="shared" si="0"/>
        <v>510.06914345150301</v>
      </c>
      <c r="S36" s="62">
        <f ca="1">AVERAGE(OFFSET($R$3,0,0,'Données projet'!$E$9+1,1))-AVERAGE(OFFSET($H$3,0,0,'Données projet'!$E$9+1,1))</f>
        <v>394.69391436029986</v>
      </c>
      <c r="T36" s="62">
        <f t="shared" si="34"/>
        <v>311.37245656657353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1.6616621017339492</v>
      </c>
      <c r="AA36" s="23">
        <f>EXP(-LN(2)/25)*AA35+(1-EXP(-LN(2)/25))/(LN(2)/25)*Calculateur!V36*Calculateur!X36*VLOOKUP('Données projet'!$B$9,Paramètres!$A$1:$I$89,3,0)*0.475*44/12</f>
        <v>1.5966849035233068</v>
      </c>
      <c r="AB36" s="23">
        <f>EXP(-LN(2)/2)*AB35+(1-EXP(-LN(2)/2))/(LN(2)/2)*V36*Y36*VLOOKUP('Données projet'!$B$9,Paramètres!$A$1:$I$89,3,0)*0.475*44/12</f>
        <v>7.3260897851991764</v>
      </c>
      <c r="AC36" s="24">
        <f t="shared" si="3"/>
        <v>10.584436790456433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</v>
      </c>
      <c r="AI36" s="14">
        <f>IF('Données projet'!$A$62&gt;35,AI35+AH36-AQ35,IF(A36&lt;'Données projet'!$A$62,$AF$205^A36,IF(A36='Données projet'!$A$62,'Données projet'!$B$62,AI35+AH36-AQ35)))</f>
        <v>187.00000000000006</v>
      </c>
      <c r="AJ36" s="14">
        <f>AI36*VLOOKUP('Données projet'!$B$10,Paramètres!$A$1:$I$89,3,0)*VLOOKUP('Données projet'!$B$10,Paramètres!$A$1:$I$89,5,0)</f>
        <v>87.516000000000034</v>
      </c>
      <c r="AK36" s="14">
        <f t="shared" si="35"/>
        <v>23.965171662037665</v>
      </c>
      <c r="AL36" s="22">
        <f t="shared" si="4"/>
        <v>194.16304064471566</v>
      </c>
      <c r="AM36" s="62">
        <f t="shared" si="5"/>
        <v>436.0438864792564</v>
      </c>
      <c r="AN36" s="62">
        <f ca="1">AVERAGE(OFFSET($AM$3,0,0,'Données projet'!$E$10+1,1))-AVERAGE(OFFSET($H$3,0,0,'Données projet'!$E$10+1,1))</f>
        <v>215.50514301701057</v>
      </c>
      <c r="AO36" s="62">
        <f t="shared" si="36"/>
        <v>273.18950868898253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1.7053369319905309</v>
      </c>
      <c r="AV36" s="23">
        <f>EXP(-LN(2)/25)*AV35+(1-EXP(-LN(2)/25))/(LN(2)/25)*Calculateur!AQ36*Calculateur!AS36*VLOOKUP('Données projet'!$B$10,Paramètres!$A$1:$I$89,3,0)*0.475*44/12</f>
        <v>1.6587304260465836</v>
      </c>
      <c r="AW36" s="23">
        <f>EXP(-LN(2)/2)*AW35+(1-EXP(-LN(2)/2))/(LN(2)/2)*AQ36*AT36*VLOOKUP('Données projet'!$B$10,Paramètres!$A$1:$I$89,3,0)*0.475*44/12</f>
        <v>8.1745745433442192</v>
      </c>
      <c r="AX36" s="23">
        <f t="shared" si="6"/>
        <v>11.538641901381334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8</v>
      </c>
      <c r="BD36" s="13">
        <f>IF('Données projet'!$A$88&gt;35,BD35+BC36-BL35,IF(A36&lt;'Données projet'!$A$88,$BA$205^A36,IF(A36='Données projet'!$A$88,'Données projet'!$B$88,BD35+BC36-BL35)))</f>
        <v>100</v>
      </c>
      <c r="BE36" s="14">
        <f>BD36*VLOOKUP('Données projet'!$B$11,Paramètres!$A$1:$I$89,3,0)*VLOOKUP('Données projet'!$B$11,Paramètres!$A$1:$I$89,5,0)</f>
        <v>101.4</v>
      </c>
      <c r="BF36" s="14">
        <f t="shared" si="37"/>
        <v>27.295257887453797</v>
      </c>
      <c r="BG36" s="22">
        <f t="shared" si="7"/>
        <v>224.14424082064872</v>
      </c>
      <c r="BH36" s="62">
        <f t="shared" si="8"/>
        <v>466.02508665518945</v>
      </c>
      <c r="BI36" s="62">
        <f ca="1">AVERAGE(OFFSET($BH$3,0,0,'Données projet'!$E$11+1,1))-AVERAGE(OFFSET($H$3,0,0,'Données projet'!$E$11+1,1))</f>
        <v>396.06968288200386</v>
      </c>
      <c r="BJ36" s="62">
        <f t="shared" si="38"/>
        <v>273.35778700650792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14.6</v>
      </c>
      <c r="N37" s="14">
        <f>IF('Données projet'!$A$36&gt;35,N36+M37-V36,IF(A37&lt;'Données projet'!$A$36,$K$205^A37,IF(A37='Données projet'!$A$36,'Données projet'!$B$36,N36+M37-V36)))</f>
        <v>218.40000000000003</v>
      </c>
      <c r="O37" s="14">
        <f>N37*VLOOKUP('Données projet'!$B$9,Paramètres!$A$1:$I$89,3,0)*VLOOKUP('Données projet'!$B$9,Paramètres!$A$1:$I$89,5,0)</f>
        <v>130.60320000000004</v>
      </c>
      <c r="P37" s="14">
        <f t="shared" si="33"/>
        <v>34.135703567016428</v>
      </c>
      <c r="Q37" s="22">
        <f t="shared" si="53"/>
        <v>286.92025704588701</v>
      </c>
      <c r="R37" s="62">
        <f t="shared" si="0"/>
        <v>529.69368850800265</v>
      </c>
      <c r="S37" s="62">
        <f ca="1">AVERAGE(OFFSET($R$3,0,0,'Données projet'!$E$9+1,1))-AVERAGE(OFFSET($H$3,0,0,'Données projet'!$E$9+1,1))</f>
        <v>394.69391436029986</v>
      </c>
      <c r="T37" s="62">
        <f t="shared" si="34"/>
        <v>311.37245656657353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1.6290779214327524</v>
      </c>
      <c r="AA37" s="23">
        <f>EXP(-LN(2)/25)*AA36+(1-EXP(-LN(2)/25))/(LN(2)/25)*Calculateur!V37*Calculateur!X37*VLOOKUP('Données projet'!$B$9,Paramètres!$A$1:$I$89,3,0)*0.475*44/12</f>
        <v>1.5530234708704522</v>
      </c>
      <c r="AB37" s="23">
        <f>EXP(-LN(2)/2)*AB36+(1-EXP(-LN(2)/2))/(LN(2)/2)*V37*Y37*VLOOKUP('Données projet'!$B$9,Paramètres!$A$1:$I$89,3,0)*0.475*44/12</f>
        <v>5.1803277666958349</v>
      </c>
      <c r="AC37" s="24">
        <f t="shared" si="3"/>
        <v>8.3624291589990385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</v>
      </c>
      <c r="AI37" s="14">
        <f>IF('Données projet'!$A$62&gt;35,AI36+AH37-AQ36,IF(A37&lt;'Données projet'!$A$62,$AF$205^A37,IF(A37='Données projet'!$A$62,'Données projet'!$B$62,AI36+AH37-AQ36)))</f>
        <v>197.00000000000006</v>
      </c>
      <c r="AJ37" s="14">
        <f>AI37*VLOOKUP('Données projet'!$B$10,Paramètres!$A$1:$I$89,3,0)*VLOOKUP('Données projet'!$B$10,Paramètres!$A$1:$I$89,5,0)</f>
        <v>92.196000000000026</v>
      </c>
      <c r="AK37" s="14">
        <f t="shared" si="35"/>
        <v>25.09410195059451</v>
      </c>
      <c r="AL37" s="22">
        <f t="shared" si="4"/>
        <v>204.2802608972855</v>
      </c>
      <c r="AM37" s="62">
        <f t="shared" si="5"/>
        <v>447.05369235940111</v>
      </c>
      <c r="AN37" s="62">
        <f ca="1">AVERAGE(OFFSET($AM$3,0,0,'Données projet'!$E$10+1,1))-AVERAGE(OFFSET($H$3,0,0,'Données projet'!$E$10+1,1))</f>
        <v>215.50514301701057</v>
      </c>
      <c r="AO37" s="62">
        <f t="shared" si="36"/>
        <v>273.18950868898253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1.6718963149070185</v>
      </c>
      <c r="AV37" s="23">
        <f>EXP(-LN(2)/25)*AV36+(1-EXP(-LN(2)/25))/(LN(2)/25)*Calculateur!AQ37*Calculateur!AS37*VLOOKUP('Données projet'!$B$10,Paramètres!$A$1:$I$89,3,0)*0.475*44/12</f>
        <v>1.6133723553174977</v>
      </c>
      <c r="AW37" s="23">
        <f>EXP(-LN(2)/2)*AW36+(1-EXP(-LN(2)/2))/(LN(2)/2)*AQ37*AT37*VLOOKUP('Données projet'!$B$10,Paramètres!$A$1:$I$89,3,0)*0.475*44/12</f>
        <v>5.7802970929136226</v>
      </c>
      <c r="AX37" s="23">
        <f t="shared" si="6"/>
        <v>9.0655657631381388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8</v>
      </c>
      <c r="BD37" s="13">
        <f>IF('Données projet'!$A$88&gt;35,BD36+BC37-BL36,IF(A37&lt;'Données projet'!$A$88,$BA$205^A37,IF(A37='Données projet'!$A$88,'Données projet'!$B$88,BD36+BC37-BL36)))</f>
        <v>108</v>
      </c>
      <c r="BE37" s="14">
        <f>BD37*VLOOKUP('Données projet'!$B$11,Paramètres!$A$1:$I$89,3,0)*VLOOKUP('Données projet'!$B$11,Paramètres!$A$1:$I$89,5,0)</f>
        <v>109.51200000000001</v>
      </c>
      <c r="BF37" s="14">
        <f t="shared" si="37"/>
        <v>29.215978230632555</v>
      </c>
      <c r="BG37" s="22">
        <f t="shared" si="7"/>
        <v>241.61789541835174</v>
      </c>
      <c r="BH37" s="62">
        <f t="shared" si="8"/>
        <v>484.39132688046732</v>
      </c>
      <c r="BI37" s="62">
        <f ca="1">AVERAGE(OFFSET($BH$3,0,0,'Données projet'!$E$11+1,1))-AVERAGE(OFFSET($H$3,0,0,'Données projet'!$E$11+1,1))</f>
        <v>396.06968288200386</v>
      </c>
      <c r="BJ37" s="62">
        <f t="shared" si="38"/>
        <v>273.35778700650792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233</v>
      </c>
      <c r="L38" s="13">
        <f>VLOOKUP(A38,'Données projet'!$A$35:$I$55,9,0)</f>
        <v>14.6</v>
      </c>
      <c r="M38" s="13">
        <f t="array" ref="M38">INDEX(L:L,MIN(IF(ISNUMBER(L38:L234),ROW(L38:L234),"")))</f>
        <v>14.6</v>
      </c>
      <c r="N38" s="14">
        <f>IF('Données projet'!$A$36&gt;35,N37+M38-V37,IF(A38&lt;'Données projet'!$A$36,$K$205^A38,IF(A38='Données projet'!$A$36,'Données projet'!$B$36,N37+M38-V37)))</f>
        <v>233.00000000000003</v>
      </c>
      <c r="O38" s="14">
        <f>N38*VLOOKUP('Données projet'!$B$9,Paramètres!$A$1:$I$89,3,0)*VLOOKUP('Données projet'!$B$9,Paramètres!$A$1:$I$89,5,0)</f>
        <v>139.33400000000003</v>
      </c>
      <c r="P38" s="14">
        <f t="shared" si="33"/>
        <v>36.144391930570897</v>
      </c>
      <c r="Q38" s="22">
        <f t="shared" si="53"/>
        <v>305.62486594574438</v>
      </c>
      <c r="R38" s="62">
        <f t="shared" si="0"/>
        <v>549.27539867031885</v>
      </c>
      <c r="S38" s="62">
        <f ca="1">AVERAGE(OFFSET($R$3,0,0,'Données projet'!$E$9+1,1))-AVERAGE(OFFSET($H$3,0,0,'Données projet'!$E$9+1,1))</f>
        <v>394.69391436029986</v>
      </c>
      <c r="T38" s="62">
        <f t="shared" si="34"/>
        <v>311.37245656657353</v>
      </c>
      <c r="U38" s="16">
        <f>IF(ISNA(VLOOKUP(A38,'Données projet'!$A$35:$I$55,3,0)),0,VLOOKUP(A38,'Données projet'!$A$35:$I$55,3,0))</f>
        <v>4</v>
      </c>
      <c r="V38" s="16">
        <f>IF(ISNA(VLOOKUP(A38,'Données projet'!$A$35:$I$55,4,0)),0,VLOOKUP(A38,'Données projet'!$A$35:$I$55,4,0))</f>
        <v>41</v>
      </c>
      <c r="W38" s="17">
        <f>IF(ISNA(VLOOKUP(A38,'Données projet'!$A$35:$I$55,5,0)),0%,VLOOKUP(A38,'Données projet'!$A$35:$I$55,5,0)*VLOOKUP('Données projet'!$B$9,Paramètres!$A$1:$I$89,7,0))</f>
        <v>0.27</v>
      </c>
      <c r="X38" s="17">
        <f>IF(ISNA(VLOOKUP(A38,'Données projet'!$A$35:$I$55,6,0)),0%,VLOOKUP(A38,'Données projet'!$A$35:$I$55,6,0)*VLOOKUP('Données projet'!$B$9,Paramètres!$A$1:$I$89,7,0))</f>
        <v>9.0000000000000011E-2</v>
      </c>
      <c r="Y38" s="17">
        <f>IF(ISNA(VLOOKUP(A38,'Données projet'!$A$35:$I$55,7,0)),0%,VLOOKUP(A38,'Données projet'!$A$35:$I$55,7,0))</f>
        <v>0.02</v>
      </c>
      <c r="Z38" s="23">
        <f>EXP(-LN(2)/35)*Z37+(1-EXP(-LN(2)/35))/(LN(2)/35)*V38*W38*VLOOKUP('Données projet'!$B$9,Paramètres!$A$1:$I$89,3,0)*0.475*44/12</f>
        <v>10.37880367301887</v>
      </c>
      <c r="AA38" s="23">
        <f>EXP(-LN(2)/25)*AA37+(1-EXP(-LN(2)/25))/(LN(2)/25)*Calculateur!V38*Calculateur!X38*VLOOKUP('Données projet'!$B$9,Paramètres!$A$1:$I$89,3,0)*0.475*44/12</f>
        <v>4.4262540261477339</v>
      </c>
      <c r="AB38" s="23">
        <f>EXP(-LN(2)/2)*AB37+(1-EXP(-LN(2)/2))/(LN(2)/2)*V38*Y38*VLOOKUP('Données projet'!$B$9,Paramètres!$A$1:$I$89,3,0)*0.475*44/12</f>
        <v>4.2182463220146662</v>
      </c>
      <c r="AC38" s="24">
        <f t="shared" si="3"/>
        <v>19.023304021181268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10</v>
      </c>
      <c r="AI38" s="14">
        <f>IF('Données projet'!$A$62&gt;35,AI37+AH38-AQ37,IF(A38&lt;'Données projet'!$A$62,$AF$205^A38,IF(A38='Données projet'!$A$62,'Données projet'!$B$62,AI37+AH38-AQ37)))</f>
        <v>207.00000000000006</v>
      </c>
      <c r="AJ38" s="14">
        <f>AI38*VLOOKUP('Données projet'!$B$10,Paramètres!$A$1:$I$89,3,0)*VLOOKUP('Données projet'!$B$10,Paramètres!$A$1:$I$89,5,0)</f>
        <v>96.876000000000033</v>
      </c>
      <c r="AK38" s="14">
        <f t="shared" si="35"/>
        <v>26.21637845945024</v>
      </c>
      <c r="AL38" s="22">
        <f t="shared" si="4"/>
        <v>214.38589248354256</v>
      </c>
      <c r="AM38" s="62">
        <f t="shared" si="5"/>
        <v>458.03642520811707</v>
      </c>
      <c r="AN38" s="62">
        <f ca="1">AVERAGE(OFFSET($AM$3,0,0,'Données projet'!$E$10+1,1))-AVERAGE(OFFSET($H$3,0,0,'Données projet'!$E$10+1,1))</f>
        <v>215.50514301701057</v>
      </c>
      <c r="AO38" s="62">
        <f t="shared" si="36"/>
        <v>273.18950868898253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1.6391114479277513</v>
      </c>
      <c r="AV38" s="23">
        <f>EXP(-LN(2)/25)*AV37+(1-EXP(-LN(2)/25))/(LN(2)/25)*Calculateur!AQ38*Calculateur!AS38*VLOOKUP('Données projet'!$B$10,Paramètres!$A$1:$I$89,3,0)*0.475*44/12</f>
        <v>1.5692546034177759</v>
      </c>
      <c r="AW38" s="23">
        <f>EXP(-LN(2)/2)*AW37+(1-EXP(-LN(2)/2))/(LN(2)/2)*AQ38*AT38*VLOOKUP('Données projet'!$B$10,Paramètres!$A$1:$I$89,3,0)*0.475*44/12</f>
        <v>4.0872872716721096</v>
      </c>
      <c r="AX38" s="23">
        <f t="shared" si="6"/>
        <v>7.2956533230176372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116</v>
      </c>
      <c r="BB38" s="13">
        <f>VLOOKUP(A38,'Données projet'!$A$87:$I$107,9,0)</f>
        <v>8</v>
      </c>
      <c r="BC38" s="13">
        <f t="array" ref="BC38">INDEX(BB:BB,MIN(IF(ISNUMBER(BB38:BB234),ROW(BB38:BB234),"")))</f>
        <v>8</v>
      </c>
      <c r="BD38" s="13">
        <f>IF('Données projet'!$A$88&gt;35,BD37+BC38-BL37,IF(A38&lt;'Données projet'!$A$88,$BA$205^A38,IF(A38='Données projet'!$A$88,'Données projet'!$B$88,BD37+BC38-BL37)))</f>
        <v>116</v>
      </c>
      <c r="BE38" s="14">
        <f>BD38*VLOOKUP('Données projet'!$B$11,Paramètres!$A$1:$I$89,3,0)*VLOOKUP('Données projet'!$B$11,Paramètres!$A$1:$I$89,5,0)</f>
        <v>117.62400000000001</v>
      </c>
      <c r="BF38" s="14">
        <f t="shared" si="37"/>
        <v>31.120192961985413</v>
      </c>
      <c r="BG38" s="22">
        <f t="shared" si="7"/>
        <v>259.06280274212457</v>
      </c>
      <c r="BH38" s="62">
        <f t="shared" si="8"/>
        <v>502.71333546669905</v>
      </c>
      <c r="BI38" s="62">
        <f ca="1">AVERAGE(OFFSET($BH$3,0,0,'Données projet'!$E$11+1,1))-AVERAGE(OFFSET($H$3,0,0,'Données projet'!$E$11+1,1))</f>
        <v>396.06968288200386</v>
      </c>
      <c r="BJ38" s="62">
        <f t="shared" si="38"/>
        <v>273.35778700650792</v>
      </c>
      <c r="BK38" s="16">
        <f>IF(ISNA(VLOOKUP(A38,'Données projet'!$A$87:$I$107,3,0)),0,VLOOKUP(A38,'Données projet'!$A$87:$I$107,3,0))</f>
        <v>3</v>
      </c>
      <c r="BL38" s="16">
        <f>IF(ISNA(VLOOKUP(A38,'Données projet'!$A$87:$I$107,4,0)),0,VLOOKUP(A38,'Données projet'!$A$87:$I$107,4,0))</f>
        <v>21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14.4</v>
      </c>
      <c r="N39" s="14">
        <f>IF('Données projet'!$A$36&gt;35,N38+M39-V38,IF(A39&lt;'Données projet'!$A$36,$K$205^A39,IF(A39='Données projet'!$A$36,'Données projet'!$B$36,N38+M39-V38)))</f>
        <v>206.40000000000003</v>
      </c>
      <c r="O39" s="14">
        <f>N39*VLOOKUP('Données projet'!$B$9,Paramètres!$A$1:$I$89,3,0)*VLOOKUP('Données projet'!$B$9,Paramètres!$A$1:$I$89,5,0)</f>
        <v>123.42720000000003</v>
      </c>
      <c r="P39" s="14">
        <f t="shared" si="33"/>
        <v>32.473022671122074</v>
      </c>
      <c r="Q39" s="22">
        <f t="shared" si="53"/>
        <v>271.5262211522043</v>
      </c>
      <c r="R39" s="62">
        <f t="shared" si="0"/>
        <v>516.03863939323878</v>
      </c>
      <c r="S39" s="62">
        <f ca="1">AVERAGE(OFFSET($R$3,0,0,'Données projet'!$E$9+1,1))-AVERAGE(OFFSET($H$3,0,0,'Données projet'!$E$9+1,1))</f>
        <v>394.69391436029986</v>
      </c>
      <c r="T39" s="62">
        <f t="shared" si="34"/>
        <v>311.37245656657353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10.175281663436131</v>
      </c>
      <c r="AA39" s="23">
        <f>EXP(-LN(2)/25)*AA38+(1-EXP(-LN(2)/25))/(LN(2)/25)*Calculateur!V39*Calculateur!X39*VLOOKUP('Données projet'!$B$9,Paramètres!$A$1:$I$89,3,0)*0.475*44/12</f>
        <v>4.3052178770361413</v>
      </c>
      <c r="AB39" s="23">
        <f>EXP(-LN(2)/2)*AB38+(1-EXP(-LN(2)/2))/(LN(2)/2)*V39*Y39*VLOOKUP('Données projet'!$B$9,Paramètres!$A$1:$I$89,3,0)*0.475*44/12</f>
        <v>2.9827505790117836</v>
      </c>
      <c r="AC39" s="24">
        <f t="shared" si="3"/>
        <v>17.463250119484059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10</v>
      </c>
      <c r="AI39" s="14">
        <f>IF('Données projet'!$A$62&gt;35,AI38+AH39-AQ38,IF(A39&lt;'Données projet'!$A$62,$AF$205^A39,IF(A39='Données projet'!$A$62,'Données projet'!$B$62,AI38+AH39-AQ38)))</f>
        <v>217.00000000000006</v>
      </c>
      <c r="AJ39" s="14">
        <f>AI39*VLOOKUP('Données projet'!$B$10,Paramètres!$A$1:$I$89,3,0)*VLOOKUP('Données projet'!$B$10,Paramètres!$A$1:$I$89,5,0)</f>
        <v>101.55600000000003</v>
      </c>
      <c r="AK39" s="14">
        <f t="shared" si="35"/>
        <v>27.332359320696909</v>
      </c>
      <c r="AL39" s="22">
        <f t="shared" si="4"/>
        <v>224.48055915021382</v>
      </c>
      <c r="AM39" s="62">
        <f t="shared" si="5"/>
        <v>468.99297739124825</v>
      </c>
      <c r="AN39" s="62">
        <f ca="1">AVERAGE(OFFSET($AM$3,0,0,'Données projet'!$E$10+1,1))-AVERAGE(OFFSET($H$3,0,0,'Données projet'!$E$10+1,1))</f>
        <v>215.50514301701057</v>
      </c>
      <c r="AO39" s="62">
        <f t="shared" si="36"/>
        <v>273.18950868898253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1.6069694721931533</v>
      </c>
      <c r="AV39" s="23">
        <f>EXP(-LN(2)/25)*AV38+(1-EXP(-LN(2)/25))/(LN(2)/25)*Calculateur!AQ39*Calculateur!AS39*VLOOKUP('Données projet'!$B$10,Paramètres!$A$1:$I$89,3,0)*0.475*44/12</f>
        <v>1.5263432537638038</v>
      </c>
      <c r="AW39" s="23">
        <f>EXP(-LN(2)/2)*AW38+(1-EXP(-LN(2)/2))/(LN(2)/2)*AQ39*AT39*VLOOKUP('Données projet'!$B$10,Paramètres!$A$1:$I$89,3,0)*0.475*44/12</f>
        <v>2.8901485464568113</v>
      </c>
      <c r="AX39" s="23">
        <f t="shared" si="6"/>
        <v>6.0234612724137682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8.4</v>
      </c>
      <c r="BD39" s="13">
        <f>IF('Données projet'!$A$88&gt;35,BD38+BC39-BL38,IF(A39&lt;'Données projet'!$A$88,$BA$205^A39,IF(A39='Données projet'!$A$88,'Données projet'!$B$88,BD38+BC39-BL38)))</f>
        <v>103.4</v>
      </c>
      <c r="BE39" s="14">
        <f>BD39*VLOOKUP('Données projet'!$B$11,Paramètres!$A$1:$I$89,3,0)*VLOOKUP('Données projet'!$B$11,Paramètres!$A$1:$I$89,5,0)</f>
        <v>104.84760000000001</v>
      </c>
      <c r="BF39" s="14">
        <f t="shared" si="37"/>
        <v>28.113670466115643</v>
      </c>
      <c r="BG39" s="22">
        <f t="shared" si="7"/>
        <v>231.57421272848475</v>
      </c>
      <c r="BH39" s="62">
        <f t="shared" si="8"/>
        <v>476.08663096951921</v>
      </c>
      <c r="BI39" s="62">
        <f ca="1">AVERAGE(OFFSET($BH$3,0,0,'Données projet'!$E$11+1,1))-AVERAGE(OFFSET($H$3,0,0,'Données projet'!$E$11+1,1))</f>
        <v>396.06968288200386</v>
      </c>
      <c r="BJ39" s="62">
        <f t="shared" si="38"/>
        <v>273.35778700650792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14.4</v>
      </c>
      <c r="N40" s="14">
        <f>IF('Données projet'!$A$36&gt;35,N39+M40-V39,IF(A40&lt;'Données projet'!$A$36,$K$205^A40,IF(A40='Données projet'!$A$36,'Données projet'!$B$36,N39+M40-V39)))</f>
        <v>220.80000000000004</v>
      </c>
      <c r="O40" s="14">
        <f>N40*VLOOKUP('Données projet'!$B$9,Paramètres!$A$1:$I$89,3,0)*VLOOKUP('Données projet'!$B$9,Paramètres!$A$1:$I$89,5,0)</f>
        <v>132.03840000000005</v>
      </c>
      <c r="P40" s="14">
        <f t="shared" si="33"/>
        <v>34.466946374534373</v>
      </c>
      <c r="Q40" s="22">
        <f t="shared" si="53"/>
        <v>289.99681160231415</v>
      </c>
      <c r="R40" s="62">
        <f t="shared" si="0"/>
        <v>535.35616357298522</v>
      </c>
      <c r="S40" s="62">
        <f ca="1">AVERAGE(OFFSET($R$3,0,0,'Données projet'!$E$9+1,1))-AVERAGE(OFFSET($H$3,0,0,'Données projet'!$E$9+1,1))</f>
        <v>394.69391436029986</v>
      </c>
      <c r="T40" s="62">
        <f t="shared" si="34"/>
        <v>311.37245656657353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9.9757505963251418</v>
      </c>
      <c r="AA40" s="23">
        <f>EXP(-LN(2)/25)*AA39+(1-EXP(-LN(2)/25))/(LN(2)/25)*Calculateur!V40*Calculateur!X40*VLOOKUP('Données projet'!$B$9,Paramètres!$A$1:$I$89,3,0)*0.475*44/12</f>
        <v>4.1874914677870194</v>
      </c>
      <c r="AB40" s="23">
        <f>EXP(-LN(2)/2)*AB39+(1-EXP(-LN(2)/2))/(LN(2)/2)*V40*Y40*VLOOKUP('Données projet'!$B$9,Paramètres!$A$1:$I$89,3,0)*0.475*44/12</f>
        <v>2.1091231610073335</v>
      </c>
      <c r="AC40" s="24">
        <f t="shared" si="3"/>
        <v>16.272365225119493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10</v>
      </c>
      <c r="AI40" s="14">
        <f>IF('Données projet'!$A$62&gt;35,AI39+AH40-AQ39,IF(A40&lt;'Données projet'!$A$62,$AF$205^A40,IF(A40='Données projet'!$A$62,'Données projet'!$B$62,AI39+AH40-AQ39)))</f>
        <v>227.00000000000006</v>
      </c>
      <c r="AJ40" s="14">
        <f>AI40*VLOOKUP('Données projet'!$B$10,Paramètres!$A$1:$I$89,3,0)*VLOOKUP('Données projet'!$B$10,Paramètres!$A$1:$I$89,5,0)</f>
        <v>106.23600000000002</v>
      </c>
      <c r="AK40" s="14">
        <f t="shared" si="35"/>
        <v>28.442367793282877</v>
      </c>
      <c r="AL40" s="22">
        <f t="shared" si="4"/>
        <v>234.56482390663436</v>
      </c>
      <c r="AM40" s="62">
        <f t="shared" si="5"/>
        <v>479.92417587730546</v>
      </c>
      <c r="AN40" s="62">
        <f ca="1">AVERAGE(OFFSET($AM$3,0,0,'Données projet'!$E$10+1,1))-AVERAGE(OFFSET($H$3,0,0,'Données projet'!$E$10+1,1))</f>
        <v>215.50514301701057</v>
      </c>
      <c r="AO40" s="62">
        <f t="shared" si="36"/>
        <v>273.18950868898253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1.5754577809980415</v>
      </c>
      <c r="AV40" s="23">
        <f>EXP(-LN(2)/25)*AV39+(1-EXP(-LN(2)/25))/(LN(2)/25)*Calculateur!AQ40*Calculateur!AS40*VLOOKUP('Données projet'!$B$10,Paramètres!$A$1:$I$89,3,0)*0.475*44/12</f>
        <v>1.4846053172227294</v>
      </c>
      <c r="AW40" s="23">
        <f>EXP(-LN(2)/2)*AW39+(1-EXP(-LN(2)/2))/(LN(2)/2)*AQ40*AT40*VLOOKUP('Données projet'!$B$10,Paramètres!$A$1:$I$89,3,0)*0.475*44/12</f>
        <v>2.0436436358360548</v>
      </c>
      <c r="AX40" s="23">
        <f t="shared" si="6"/>
        <v>5.103706734056825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8.4</v>
      </c>
      <c r="BD40" s="13">
        <f>IF('Données projet'!$A$88&gt;35,BD39+BC40-BL39,IF(A40&lt;'Données projet'!$A$88,$BA$205^A40,IF(A40='Données projet'!$A$88,'Données projet'!$B$88,BD39+BC40-BL39)))</f>
        <v>111.80000000000001</v>
      </c>
      <c r="BE40" s="14">
        <f>BD40*VLOOKUP('Données projet'!$B$11,Paramètres!$A$1:$I$89,3,0)*VLOOKUP('Données projet'!$B$11,Paramètres!$A$1:$I$89,5,0)</f>
        <v>113.36520000000003</v>
      </c>
      <c r="BF40" s="14">
        <f t="shared" si="37"/>
        <v>30.122456058687614</v>
      </c>
      <c r="BG40" s="22">
        <f t="shared" si="7"/>
        <v>249.9076676355476</v>
      </c>
      <c r="BH40" s="62">
        <f t="shared" si="8"/>
        <v>495.2670196062187</v>
      </c>
      <c r="BI40" s="62">
        <f ca="1">AVERAGE(OFFSET($BH$3,0,0,'Données projet'!$E$11+1,1))-AVERAGE(OFFSET($H$3,0,0,'Données projet'!$E$11+1,1))</f>
        <v>396.06968288200386</v>
      </c>
      <c r="BJ40" s="62">
        <f t="shared" si="38"/>
        <v>273.35778700650792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14.4</v>
      </c>
      <c r="N41" s="14">
        <f>IF('Données projet'!$A$36&gt;35,N40+M41-V40,IF(A41&lt;'Données projet'!$A$36,$K$205^A41,IF(A41='Données projet'!$A$36,'Données projet'!$B$36,N40+M41-V40)))</f>
        <v>235.20000000000005</v>
      </c>
      <c r="O41" s="14">
        <f>N41*VLOOKUP('Données projet'!$B$9,Paramètres!$A$1:$I$89,3,0)*VLOOKUP('Données projet'!$B$9,Paramètres!$A$1:$I$89,5,0)</f>
        <v>140.64960000000002</v>
      </c>
      <c r="P41" s="14">
        <f t="shared" si="33"/>
        <v>36.445779615258601</v>
      </c>
      <c r="Q41" s="22">
        <f t="shared" si="53"/>
        <v>308.44111949657542</v>
      </c>
      <c r="R41" s="62">
        <f t="shared" si="0"/>
        <v>554.63271279013418</v>
      </c>
      <c r="S41" s="62">
        <f ca="1">AVERAGE(OFFSET($R$3,0,0,'Données projet'!$E$9+1,1))-AVERAGE(OFFSET($H$3,0,0,'Données projet'!$E$9+1,1))</f>
        <v>394.69391436029986</v>
      </c>
      <c r="T41" s="62">
        <f t="shared" si="34"/>
        <v>311.37245656657353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9.7801322117382643</v>
      </c>
      <c r="AA41" s="23">
        <f>EXP(-LN(2)/25)*AA40+(1-EXP(-LN(2)/25))/(LN(2)/25)*Calculateur!V41*Calculateur!X41*VLOOKUP('Données projet'!$B$9,Paramètres!$A$1:$I$89,3,0)*0.475*44/12</f>
        <v>4.0729842933897773</v>
      </c>
      <c r="AB41" s="23">
        <f>EXP(-LN(2)/2)*AB40+(1-EXP(-LN(2)/2))/(LN(2)/2)*V41*Y41*VLOOKUP('Données projet'!$B$9,Paramètres!$A$1:$I$89,3,0)*0.475*44/12</f>
        <v>1.491375289505892</v>
      </c>
      <c r="AC41" s="24">
        <f t="shared" si="3"/>
        <v>15.344491794633935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10</v>
      </c>
      <c r="AI41" s="14">
        <f>IF('Données projet'!$A$62&gt;35,AI40+AH41-AQ40,IF(A41&lt;'Données projet'!$A$62,$AF$205^A41,IF(A41='Données projet'!$A$62,'Données projet'!$B$62,AI40+AH41-AQ40)))</f>
        <v>237.00000000000006</v>
      </c>
      <c r="AJ41" s="14">
        <f>AI41*VLOOKUP('Données projet'!$B$10,Paramètres!$A$1:$I$89,3,0)*VLOOKUP('Données projet'!$B$10,Paramètres!$A$1:$I$89,5,0)</f>
        <v>110.91600000000003</v>
      </c>
      <c r="AK41" s="14">
        <f t="shared" si="35"/>
        <v>29.546697044802634</v>
      </c>
      <c r="AL41" s="22">
        <f t="shared" si="4"/>
        <v>244.63919735303134</v>
      </c>
      <c r="AM41" s="62">
        <f t="shared" si="5"/>
        <v>490.83079064659006</v>
      </c>
      <c r="AN41" s="62">
        <f ca="1">AVERAGE(OFFSET($AM$3,0,0,'Données projet'!$E$10+1,1))-AVERAGE(OFFSET($H$3,0,0,'Données projet'!$E$10+1,1))</f>
        <v>215.50514301701057</v>
      </c>
      <c r="AO41" s="62">
        <f t="shared" si="36"/>
        <v>273.18950868898253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1.5445640148470319</v>
      </c>
      <c r="AV41" s="23">
        <f>EXP(-LN(2)/25)*AV40+(1-EXP(-LN(2)/25))/(LN(2)/25)*Calculateur!AQ41*Calculateur!AS41*VLOOKUP('Données projet'!$B$10,Paramètres!$A$1:$I$89,3,0)*0.475*44/12</f>
        <v>1.4440087067512732</v>
      </c>
      <c r="AW41" s="23">
        <f>EXP(-LN(2)/2)*AW40+(1-EXP(-LN(2)/2))/(LN(2)/2)*AQ41*AT41*VLOOKUP('Données projet'!$B$10,Paramètres!$A$1:$I$89,3,0)*0.475*44/12</f>
        <v>1.4450742732284056</v>
      </c>
      <c r="AX41" s="23">
        <f t="shared" si="6"/>
        <v>4.4336469948267112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8.4</v>
      </c>
      <c r="BD41" s="13">
        <f>IF('Données projet'!$A$88&gt;35,BD40+BC41-BL40,IF(A41&lt;'Données projet'!$A$88,$BA$205^A41,IF(A41='Données projet'!$A$88,'Données projet'!$B$88,BD40+BC41-BL40)))</f>
        <v>120.20000000000002</v>
      </c>
      <c r="BE41" s="14">
        <f>BD41*VLOOKUP('Données projet'!$B$11,Paramètres!$A$1:$I$89,3,0)*VLOOKUP('Données projet'!$B$11,Paramètres!$A$1:$I$89,5,0)</f>
        <v>121.88280000000002</v>
      </c>
      <c r="BF41" s="14">
        <f t="shared" si="37"/>
        <v>32.113732800054677</v>
      </c>
      <c r="BG41" s="22">
        <f t="shared" si="7"/>
        <v>268.21062796009522</v>
      </c>
      <c r="BH41" s="62">
        <f t="shared" si="8"/>
        <v>514.40222125365392</v>
      </c>
      <c r="BI41" s="62">
        <f ca="1">AVERAGE(OFFSET($BH$3,0,0,'Données projet'!$E$11+1,1))-AVERAGE(OFFSET($H$3,0,0,'Données projet'!$E$11+1,1))</f>
        <v>396.06968288200386</v>
      </c>
      <c r="BJ41" s="62">
        <f t="shared" si="38"/>
        <v>273.35778700650792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14.4</v>
      </c>
      <c r="N42" s="14">
        <f>IF('Données projet'!$A$36&gt;35,N41+M42-V41,IF(A42&lt;'Données projet'!$A$36,$K$205^A42,IF(A42='Données projet'!$A$36,'Données projet'!$B$36,N41+M42-V41)))</f>
        <v>249.60000000000005</v>
      </c>
      <c r="O42" s="14">
        <f>N42*VLOOKUP('Données projet'!$B$9,Paramètres!$A$1:$I$89,3,0)*VLOOKUP('Données projet'!$B$9,Paramètres!$A$1:$I$89,5,0)</f>
        <v>149.26080000000005</v>
      </c>
      <c r="P42" s="14">
        <f t="shared" si="33"/>
        <v>38.410551499792909</v>
      </c>
      <c r="Q42" s="22">
        <f t="shared" si="53"/>
        <v>326.86093719547273</v>
      </c>
      <c r="R42" s="62">
        <f t="shared" si="0"/>
        <v>573.87033428557982</v>
      </c>
      <c r="S42" s="62">
        <f ca="1">AVERAGE(OFFSET($R$3,0,0,'Données projet'!$E$9+1,1))-AVERAGE(OFFSET($H$3,0,0,'Données projet'!$E$9+1,1))</f>
        <v>394.69391436029986</v>
      </c>
      <c r="T42" s="62">
        <f t="shared" si="34"/>
        <v>311.37245656657353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9.5883497843577032</v>
      </c>
      <c r="AA42" s="23">
        <f>EXP(-LN(2)/25)*AA41+(1-EXP(-LN(2)/25))/(LN(2)/25)*Calculateur!V42*Calculateur!X42*VLOOKUP('Données projet'!$B$9,Paramètres!$A$1:$I$89,3,0)*0.475*44/12</f>
        <v>3.9616083236980986</v>
      </c>
      <c r="AB42" s="23">
        <f>EXP(-LN(2)/2)*AB41+(1-EXP(-LN(2)/2))/(LN(2)/2)*V42*Y42*VLOOKUP('Données projet'!$B$9,Paramètres!$A$1:$I$89,3,0)*0.475*44/12</f>
        <v>1.0545615805036668</v>
      </c>
      <c r="AC42" s="24">
        <f t="shared" si="3"/>
        <v>14.604519688559467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10</v>
      </c>
      <c r="AI42" s="14">
        <f>IF('Données projet'!$A$62&gt;35,AI41+AH42-AQ41,IF(A42&lt;'Données projet'!$A$62,$AF$205^A42,IF(A42='Données projet'!$A$62,'Données projet'!$B$62,AI41+AH42-AQ41)))</f>
        <v>247.00000000000006</v>
      </c>
      <c r="AJ42" s="14">
        <f>AI42*VLOOKUP('Données projet'!$B$10,Paramètres!$A$1:$I$89,3,0)*VLOOKUP('Données projet'!$B$10,Paramètres!$A$1:$I$89,5,0)</f>
        <v>115.59600000000002</v>
      </c>
      <c r="AK42" s="14">
        <f t="shared" si="35"/>
        <v>30.645614103483879</v>
      </c>
      <c r="AL42" s="22">
        <f t="shared" si="4"/>
        <v>254.70414456356778</v>
      </c>
      <c r="AM42" s="62">
        <f t="shared" si="5"/>
        <v>501.71354165367489</v>
      </c>
      <c r="AN42" s="62">
        <f ca="1">AVERAGE(OFFSET($AM$3,0,0,'Données projet'!$E$10+1,1))-AVERAGE(OFFSET($H$3,0,0,'Données projet'!$E$10+1,1))</f>
        <v>215.50514301701057</v>
      </c>
      <c r="AO42" s="62">
        <f t="shared" si="36"/>
        <v>273.18950868898253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1.5142760566069069</v>
      </c>
      <c r="AV42" s="23">
        <f>EXP(-LN(2)/25)*AV41+(1-EXP(-LN(2)/25))/(LN(2)/25)*Calculateur!AQ42*Calculateur!AS42*VLOOKUP('Données projet'!$B$10,Paramètres!$A$1:$I$89,3,0)*0.475*44/12</f>
        <v>1.4045222127280421</v>
      </c>
      <c r="AW42" s="23">
        <f>EXP(-LN(2)/2)*AW41+(1-EXP(-LN(2)/2))/(LN(2)/2)*AQ42*AT42*VLOOKUP('Données projet'!$B$10,Paramètres!$A$1:$I$89,3,0)*0.475*44/12</f>
        <v>1.0218218179180274</v>
      </c>
      <c r="AX42" s="23">
        <f t="shared" si="6"/>
        <v>3.9406200872529764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8.4</v>
      </c>
      <c r="BD42" s="13">
        <f>IF('Données projet'!$A$88&gt;35,BD41+BC42-BL41,IF(A42&lt;'Données projet'!$A$88,$BA$205^A42,IF(A42='Données projet'!$A$88,'Données projet'!$B$88,BD41+BC42-BL41)))</f>
        <v>128.60000000000002</v>
      </c>
      <c r="BE42" s="14">
        <f>BD42*VLOOKUP('Données projet'!$B$11,Paramètres!$A$1:$I$89,3,0)*VLOOKUP('Données projet'!$B$11,Paramètres!$A$1:$I$89,5,0)</f>
        <v>130.40040000000002</v>
      </c>
      <c r="BF42" s="14">
        <f t="shared" si="37"/>
        <v>34.088863450406919</v>
      </c>
      <c r="BG42" s="22">
        <f t="shared" si="7"/>
        <v>286.48546717612544</v>
      </c>
      <c r="BH42" s="62">
        <f t="shared" si="8"/>
        <v>533.49486426623253</v>
      </c>
      <c r="BI42" s="62">
        <f ca="1">AVERAGE(OFFSET($BH$3,0,0,'Données projet'!$E$11+1,1))-AVERAGE(OFFSET($H$3,0,0,'Données projet'!$E$11+1,1))</f>
        <v>396.06968288200386</v>
      </c>
      <c r="BJ42" s="62">
        <f t="shared" si="38"/>
        <v>273.35778700650792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264</v>
      </c>
      <c r="L43" s="13">
        <f>VLOOKUP(A43,'Données projet'!$A$35:$I$55,9,0)</f>
        <v>14.4</v>
      </c>
      <c r="M43" s="13">
        <f t="array" ref="M43">INDEX(L:L,MIN(IF(ISNUMBER(L43:L239),ROW(L43:L239),"")))</f>
        <v>14.4</v>
      </c>
      <c r="N43" s="14">
        <f>IF('Données projet'!$A$36&gt;35,N42+M43-V42,IF(A43&lt;'Données projet'!$A$36,$K$205^A43,IF(A43='Données projet'!$A$36,'Données projet'!$B$36,N42+M43-V42)))</f>
        <v>264.00000000000006</v>
      </c>
      <c r="O43" s="14">
        <f>N43*VLOOKUP('Données projet'!$B$9,Paramètres!$A$1:$I$89,3,0)*VLOOKUP('Données projet'!$B$9,Paramètres!$A$1:$I$89,5,0)</f>
        <v>157.87200000000004</v>
      </c>
      <c r="P43" s="14">
        <f t="shared" si="33"/>
        <v>40.362165684361159</v>
      </c>
      <c r="Q43" s="22">
        <f t="shared" si="53"/>
        <v>345.25783856692902</v>
      </c>
      <c r="R43" s="62">
        <f t="shared" si="0"/>
        <v>593.07085238604986</v>
      </c>
      <c r="S43" s="62">
        <f ca="1">AVERAGE(OFFSET($R$3,0,0,'Données projet'!$E$9+1,1))-AVERAGE(OFFSET($H$3,0,0,'Données projet'!$E$9+1,1))</f>
        <v>394.69391436029986</v>
      </c>
      <c r="T43" s="62">
        <f t="shared" si="34"/>
        <v>311.37245656657353</v>
      </c>
      <c r="U43" s="16">
        <f>IF(ISNA(VLOOKUP(A43,'Données projet'!$A$35:$I$55,3,0)),0,VLOOKUP(A43,'Données projet'!$A$35:$I$55,3,0))</f>
        <v>5</v>
      </c>
      <c r="V43" s="16">
        <f>IF(ISNA(VLOOKUP(A43,'Données projet'!$A$35:$I$55,4,0)),0,VLOOKUP(A43,'Données projet'!$A$35:$I$55,4,0))</f>
        <v>41</v>
      </c>
      <c r="W43" s="17">
        <f>IF(ISNA(VLOOKUP(A43,'Données projet'!$A$35:$I$55,5,0)),0%,VLOOKUP(A43,'Données projet'!$A$35:$I$55,5,0)*VLOOKUP('Données projet'!$B$9,Paramètres!$A$1:$I$89,7,0))</f>
        <v>0.27</v>
      </c>
      <c r="X43" s="17">
        <f>IF(ISNA(VLOOKUP(A43,'Données projet'!$A$35:$I$55,6,0)),0%,VLOOKUP(A43,'Données projet'!$A$35:$I$55,6,0)*VLOOKUP('Données projet'!$B$9,Paramètres!$A$1:$I$89,7,0))</f>
        <v>9.0000000000000011E-2</v>
      </c>
      <c r="Y43" s="17">
        <f>IF(ISNA(VLOOKUP(A43,'Données projet'!$A$35:$I$55,7,0)),0%,VLOOKUP(A43,'Données projet'!$A$35:$I$55,7,0))</f>
        <v>0.2</v>
      </c>
      <c r="Z43" s="23">
        <f>EXP(-LN(2)/35)*Z42+(1-EXP(-LN(2)/35))/(LN(2)/35)*V43*W43*VLOOKUP('Données projet'!$B$9,Paramètres!$A$1:$I$89,3,0)*0.475*44/12</f>
        <v>18.18199906938834</v>
      </c>
      <c r="AA43" s="23">
        <f>EXP(-LN(2)/25)*AA42+(1-EXP(-LN(2)/25))/(LN(2)/25)*Calculateur!V43*Calculateur!X43*VLOOKUP('Données projet'!$B$9,Paramètres!$A$1:$I$89,3,0)*0.475*44/12</f>
        <v>6.7689759995128362</v>
      </c>
      <c r="AB43" s="23">
        <f>EXP(-LN(2)/2)*AB42+(1-EXP(-LN(2)/2))/(LN(2)/2)*V43*Y43*VLOOKUP('Données projet'!$B$9,Paramètres!$A$1:$I$89,3,0)*0.475*44/12</f>
        <v>6.2977019389037254</v>
      </c>
      <c r="AC43" s="24">
        <f t="shared" si="3"/>
        <v>31.248677007804901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257</v>
      </c>
      <c r="AG43" s="13">
        <f>VLOOKUP(A43,'Données projet'!$A$61:$I$81,9,0)</f>
        <v>10</v>
      </c>
      <c r="AH43" s="13">
        <f t="array" ref="AH43">INDEX(AG:AG,MIN(IF(ISNUMBER(AG43:AG239),ROW(AG43:AG239),"")))</f>
        <v>10</v>
      </c>
      <c r="AI43" s="14">
        <f>IF('Données projet'!$A$62&gt;35,AI42+AH43-AQ42,IF(A43&lt;'Données projet'!$A$62,$AF$205^A43,IF(A43='Données projet'!$A$62,'Données projet'!$B$62,AI42+AH43-AQ42)))</f>
        <v>257.00000000000006</v>
      </c>
      <c r="AJ43" s="14">
        <f>AI43*VLOOKUP('Données projet'!$B$10,Paramètres!$A$1:$I$89,3,0)*VLOOKUP('Données projet'!$B$10,Paramètres!$A$1:$I$89,5,0)</f>
        <v>120.27600000000001</v>
      </c>
      <c r="AK43" s="14">
        <f t="shared" si="35"/>
        <v>31.739363152156315</v>
      </c>
      <c r="AL43" s="22">
        <f t="shared" si="4"/>
        <v>264.76009082333894</v>
      </c>
      <c r="AM43" s="62">
        <f t="shared" si="5"/>
        <v>512.57310464245973</v>
      </c>
      <c r="AN43" s="62">
        <f ca="1">AVERAGE(OFFSET($AM$3,0,0,'Données projet'!$E$10+1,1))-AVERAGE(OFFSET($H$3,0,0,'Données projet'!$E$10+1,1))</f>
        <v>215.50514301701057</v>
      </c>
      <c r="AO43" s="62">
        <f t="shared" si="36"/>
        <v>273.18950868898253</v>
      </c>
      <c r="AP43" s="16">
        <f>IF(ISNA(VLOOKUP(A43,'Données projet'!$A$61:$I$81,3,0)),0,VLOOKUP(A43,'Données projet'!$A$61:$I$81,3,0))</f>
        <v>3</v>
      </c>
      <c r="AQ43" s="16">
        <f>IF(ISNA(VLOOKUP(A43,'Données projet'!$A$61:$I$81,4,0)),0,VLOOKUP(A43,'Données projet'!$A$61:$I$81,4,0))</f>
        <v>64</v>
      </c>
      <c r="AR43" s="17">
        <f>IF(ISNA(VLOOKUP(A43,'Données projet'!$A$61:$I$81,5,0)),0%,VLOOKUP(A43,'Données projet'!$A$61:$I$81,5,0)*VLOOKUP('Données projet'!$B$10,Paramètres!$A$1:$I$89,7,0))</f>
        <v>0.35750000000000004</v>
      </c>
      <c r="AS43" s="17">
        <f>IF(ISNA(VLOOKUP(A43,'Données projet'!$A$61:$I$81,6,0)),0%,VLOOKUP(A43,'Données projet'!$A$61:$I$81,6,0)*VLOOKUP('Données projet'!$B$10,Paramètres!$A$1:$I$89,7,0))</f>
        <v>0.11000000000000001</v>
      </c>
      <c r="AT43" s="17">
        <f>IF(ISNA(VLOOKUP(A43,'Données projet'!$A$61:$I$81,7,0)),0%,VLOOKUP(A43,'Données projet'!$A$61:$I$81,7,0))</f>
        <v>0.15</v>
      </c>
      <c r="AU43" s="23">
        <f>EXP(-LN(2)/35)*AU42+(1-EXP(-LN(2)/35))/(LN(2)/35)*AQ43*AR43*VLOOKUP('Données projet'!$B$10,Paramètres!$A$1:$I$89,3,0)*0.475*44/12</f>
        <v>15.68922196528777</v>
      </c>
      <c r="AV43" s="23">
        <f>EXP(-LN(2)/25)*AV42+(1-EXP(-LN(2)/25))/(LN(2)/25)*Calculateur!AQ43*Calculateur!AS43*VLOOKUP('Données projet'!$B$10,Paramètres!$A$1:$I$89,3,0)*0.475*44/12</f>
        <v>5.7195649739460972</v>
      </c>
      <c r="AW43" s="23">
        <f>EXP(-LN(2)/2)*AW42+(1-EXP(-LN(2)/2))/(LN(2)/2)*AQ43*AT43*VLOOKUP('Données projet'!$B$10,Paramètres!$A$1:$I$89,3,0)*0.475*44/12</f>
        <v>5.809430402941107</v>
      </c>
      <c r="AX43" s="23">
        <f t="shared" si="6"/>
        <v>27.218217342174974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137</v>
      </c>
      <c r="BB43" s="13">
        <f>VLOOKUP(A43,'Données projet'!$A$87:$I$107,9,0)</f>
        <v>8.4</v>
      </c>
      <c r="BC43" s="13">
        <f t="array" ref="BC43">INDEX(BB:BB,MIN(IF(ISNUMBER(BB43:BB239),ROW(BB43:BB239),"")))</f>
        <v>8.4</v>
      </c>
      <c r="BD43" s="13">
        <f>IF('Données projet'!$A$88&gt;35,BD42+BC43-BL42,IF(A43&lt;'Données projet'!$A$88,$BA$205^A43,IF(A43='Données projet'!$A$88,'Données projet'!$B$88,BD42+BC43-BL42)))</f>
        <v>137.00000000000003</v>
      </c>
      <c r="BE43" s="14">
        <f>BD43*VLOOKUP('Données projet'!$B$11,Paramètres!$A$1:$I$89,3,0)*VLOOKUP('Données projet'!$B$11,Paramètres!$A$1:$I$89,5,0)</f>
        <v>138.91800000000003</v>
      </c>
      <c r="BF43" s="14">
        <f t="shared" si="37"/>
        <v>36.049022673886341</v>
      </c>
      <c r="BG43" s="22">
        <f t="shared" si="7"/>
        <v>304.73423115701877</v>
      </c>
      <c r="BH43" s="62">
        <f t="shared" si="8"/>
        <v>552.54724497613961</v>
      </c>
      <c r="BI43" s="62">
        <f ca="1">AVERAGE(OFFSET($BH$3,0,0,'Données projet'!$E$11+1,1))-AVERAGE(OFFSET($H$3,0,0,'Données projet'!$E$11+1,1))</f>
        <v>396.06968288200386</v>
      </c>
      <c r="BJ43" s="62">
        <f t="shared" si="38"/>
        <v>273.35778700650792</v>
      </c>
      <c r="BK43" s="16">
        <f>IF(ISNA(VLOOKUP(A43,'Données projet'!$A$87:$I$107,3,0)),0,VLOOKUP(A43,'Données projet'!$A$87:$I$107,3,0))</f>
        <v>4</v>
      </c>
      <c r="BL43" s="16">
        <f>IF(ISNA(VLOOKUP(A43,'Données projet'!$A$87:$I$107,4,0)),0,VLOOKUP(A43,'Données projet'!$A$87:$I$107,4,0))</f>
        <v>21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19</v>
      </c>
      <c r="N44" s="14">
        <f>IF('Données projet'!$A$36&gt;35,N43+M44-V43,IF(A44&lt;'Données projet'!$A$36,$K$205^A44,IF(A44='Données projet'!$A$36,'Données projet'!$B$36,N43+M44-V43)))</f>
        <v>242.00000000000006</v>
      </c>
      <c r="O44" s="14">
        <f>N44*VLOOKUP('Données projet'!$B$9,Paramètres!$A$1:$I$89,3,0)*VLOOKUP('Données projet'!$B$9,Paramètres!$A$1:$I$89,5,0)</f>
        <v>144.71600000000007</v>
      </c>
      <c r="P44" s="14">
        <f t="shared" si="33"/>
        <v>37.375282885096105</v>
      </c>
      <c r="Q44" s="22">
        <f t="shared" si="53"/>
        <v>317.14231769154247</v>
      </c>
      <c r="R44" s="62">
        <f t="shared" si="0"/>
        <v>565.74500728604642</v>
      </c>
      <c r="S44" s="62">
        <f ca="1">AVERAGE(OFFSET($R$3,0,0,'Données projet'!$E$9+1,1))-AVERAGE(OFFSET($H$3,0,0,'Données projet'!$E$9+1,1))</f>
        <v>394.69391436029986</v>
      </c>
      <c r="T44" s="62">
        <f t="shared" si="34"/>
        <v>311.37245656657353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17.825461157562028</v>
      </c>
      <c r="AA44" s="23">
        <f>EXP(-LN(2)/25)*AA43+(1-EXP(-LN(2)/25))/(LN(2)/25)*Calculateur!V44*Calculateur!X44*VLOOKUP('Données projet'!$B$9,Paramètres!$A$1:$I$89,3,0)*0.475*44/12</f>
        <v>6.5838779948411803</v>
      </c>
      <c r="AB44" s="23">
        <f>EXP(-LN(2)/2)*AB43+(1-EXP(-LN(2)/2))/(LN(2)/2)*V44*Y44*VLOOKUP('Données projet'!$B$9,Paramètres!$A$1:$I$89,3,0)*0.475*44/12</f>
        <v>4.453147746890493</v>
      </c>
      <c r="AC44" s="24">
        <f t="shared" si="3"/>
        <v>28.862486899293703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11.5</v>
      </c>
      <c r="AI44" s="14">
        <f>IF('Données projet'!$A$62&gt;35,AI43+AH44-AQ43,IF(A44&lt;'Données projet'!$A$62,$AF$205^A44,IF(A44='Données projet'!$A$62,'Données projet'!$B$62,AI43+AH44-AQ43)))</f>
        <v>204.50000000000006</v>
      </c>
      <c r="AJ44" s="14">
        <f>AI44*VLOOKUP('Données projet'!$B$10,Paramètres!$A$1:$I$89,3,0)*VLOOKUP('Données projet'!$B$10,Paramètres!$A$1:$I$89,5,0)</f>
        <v>95.706000000000031</v>
      </c>
      <c r="AK44" s="14">
        <f t="shared" si="35"/>
        <v>25.936412902008851</v>
      </c>
      <c r="AL44" s="22">
        <f t="shared" si="4"/>
        <v>211.86053580433213</v>
      </c>
      <c r="AM44" s="62">
        <f t="shared" si="5"/>
        <v>460.46322539883613</v>
      </c>
      <c r="AN44" s="62">
        <f ca="1">AVERAGE(OFFSET($AM$3,0,0,'Données projet'!$E$10+1,1))-AVERAGE(OFFSET($H$3,0,0,'Données projet'!$E$10+1,1))</f>
        <v>215.50514301701057</v>
      </c>
      <c r="AO44" s="62">
        <f t="shared" si="36"/>
        <v>273.18950868898253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15.381565892028968</v>
      </c>
      <c r="AV44" s="23">
        <f>EXP(-LN(2)/25)*AV43+(1-EXP(-LN(2)/25))/(LN(2)/25)*Calculateur!AQ44*Calculateur!AS44*VLOOKUP('Données projet'!$B$10,Paramètres!$A$1:$I$89,3,0)*0.475*44/12</f>
        <v>5.5631631689546914</v>
      </c>
      <c r="AW44" s="23">
        <f>EXP(-LN(2)/2)*AW43+(1-EXP(-LN(2)/2))/(LN(2)/2)*AQ44*AT44*VLOOKUP('Données projet'!$B$10,Paramètres!$A$1:$I$89,3,0)*0.475*44/12</f>
        <v>4.1078876327509546</v>
      </c>
      <c r="AX44" s="23">
        <f t="shared" si="6"/>
        <v>25.052616693734617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8.4</v>
      </c>
      <c r="BD44" s="13">
        <f>IF('Données projet'!$A$88&gt;35,BD43+BC44-BL43,IF(A44&lt;'Données projet'!$A$88,$BA$205^A44,IF(A44='Données projet'!$A$88,'Données projet'!$B$88,BD43+BC44-BL43)))</f>
        <v>124.40000000000003</v>
      </c>
      <c r="BE44" s="14">
        <f>BD44*VLOOKUP('Données projet'!$B$11,Paramètres!$A$1:$I$89,3,0)*VLOOKUP('Données projet'!$B$11,Paramètres!$A$1:$I$89,5,0)</f>
        <v>126.14160000000005</v>
      </c>
      <c r="BF44" s="14">
        <f t="shared" si="37"/>
        <v>33.10323903126482</v>
      </c>
      <c r="BG44" s="22">
        <f t="shared" si="7"/>
        <v>277.35142797945298</v>
      </c>
      <c r="BH44" s="62">
        <f t="shared" si="8"/>
        <v>525.95411757395698</v>
      </c>
      <c r="BI44" s="62">
        <f ca="1">AVERAGE(OFFSET($BH$3,0,0,'Données projet'!$E$11+1,1))-AVERAGE(OFFSET($H$3,0,0,'Données projet'!$E$11+1,1))</f>
        <v>396.06968288200386</v>
      </c>
      <c r="BJ44" s="62">
        <f t="shared" si="38"/>
        <v>273.35778700650792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19</v>
      </c>
      <c r="N45" s="14">
        <f>IF('Données projet'!$A$36&gt;35,N44+M45-V44,IF(A45&lt;'Données projet'!$A$36,$K$205^A45,IF(A45='Données projet'!$A$36,'Données projet'!$B$36,N44+M45-V44)))</f>
        <v>261.00000000000006</v>
      </c>
      <c r="O45" s="14">
        <f>N45*VLOOKUP('Données projet'!$B$9,Paramètres!$A$1:$I$89,3,0)*VLOOKUP('Données projet'!$B$9,Paramètres!$A$1:$I$89,5,0)</f>
        <v>156.07800000000003</v>
      </c>
      <c r="P45" s="14">
        <f t="shared" si="33"/>
        <v>39.956623674978466</v>
      </c>
      <c r="Q45" s="22">
        <f t="shared" si="53"/>
        <v>341.42696956725422</v>
      </c>
      <c r="R45" s="62">
        <f t="shared" si="0"/>
        <v>590.80563582788898</v>
      </c>
      <c r="S45" s="62">
        <f ca="1">AVERAGE(OFFSET($R$3,0,0,'Données projet'!$E$9+1,1))-AVERAGE(OFFSET($H$3,0,0,'Données projet'!$E$9+1,1))</f>
        <v>394.69391436029986</v>
      </c>
      <c r="T45" s="62">
        <f t="shared" si="34"/>
        <v>311.37245656657353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17.475914736719975</v>
      </c>
      <c r="AA45" s="23">
        <f>EXP(-LN(2)/25)*AA44+(1-EXP(-LN(2)/25))/(LN(2)/25)*Calculateur!V45*Calculateur!X45*VLOOKUP('Données projet'!$B$9,Paramètres!$A$1:$I$89,3,0)*0.475*44/12</f>
        <v>6.4038415048411519</v>
      </c>
      <c r="AB45" s="23">
        <f>EXP(-LN(2)/2)*AB44+(1-EXP(-LN(2)/2))/(LN(2)/2)*V45*Y45*VLOOKUP('Données projet'!$B$9,Paramètres!$A$1:$I$89,3,0)*0.475*44/12</f>
        <v>3.1488509694518632</v>
      </c>
      <c r="AC45" s="24">
        <f t="shared" si="3"/>
        <v>27.028607211012989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11.5</v>
      </c>
      <c r="AI45" s="14">
        <f>IF('Données projet'!$A$62&gt;35,AI44+AH45-AQ44,IF(A45&lt;'Données projet'!$A$62,$AF$205^A45,IF(A45='Données projet'!$A$62,'Données projet'!$B$62,AI44+AH45-AQ44)))</f>
        <v>216.00000000000006</v>
      </c>
      <c r="AJ45" s="14">
        <f>AI45*VLOOKUP('Données projet'!$B$10,Paramètres!$A$1:$I$89,3,0)*VLOOKUP('Données projet'!$B$10,Paramètres!$A$1:$I$89,5,0)</f>
        <v>101.08800000000002</v>
      </c>
      <c r="AK45" s="14">
        <f t="shared" si="35"/>
        <v>27.221035075711939</v>
      </c>
      <c r="AL45" s="22">
        <f t="shared" si="4"/>
        <v>223.47156942353163</v>
      </c>
      <c r="AM45" s="62">
        <f t="shared" si="5"/>
        <v>472.85023568416636</v>
      </c>
      <c r="AN45" s="62">
        <f ca="1">AVERAGE(OFFSET($AM$3,0,0,'Données projet'!$E$10+1,1))-AVERAGE(OFFSET($H$3,0,0,'Données projet'!$E$10+1,1))</f>
        <v>215.50514301701057</v>
      </c>
      <c r="AO45" s="62">
        <f t="shared" si="36"/>
        <v>273.18950868898253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15.079942766715096</v>
      </c>
      <c r="AV45" s="23">
        <f>EXP(-LN(2)/25)*AV44+(1-EXP(-LN(2)/25))/(LN(2)/25)*Calculateur!AQ45*Calculateur!AS45*VLOOKUP('Données projet'!$B$10,Paramètres!$A$1:$I$89,3,0)*0.475*44/12</f>
        <v>5.4110381795455895</v>
      </c>
      <c r="AW45" s="23">
        <f>EXP(-LN(2)/2)*AW44+(1-EXP(-LN(2)/2))/(LN(2)/2)*AQ45*AT45*VLOOKUP('Données projet'!$B$10,Paramètres!$A$1:$I$89,3,0)*0.475*44/12</f>
        <v>2.904715201470554</v>
      </c>
      <c r="AX45" s="23">
        <f t="shared" si="6"/>
        <v>23.39569614773124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8.4</v>
      </c>
      <c r="BD45" s="13">
        <f>IF('Données projet'!$A$88&gt;35,BD44+BC45-BL44,IF(A45&lt;'Données projet'!$A$88,$BA$205^A45,IF(A45='Données projet'!$A$88,'Données projet'!$B$88,BD44+BC45-BL44)))</f>
        <v>132.80000000000004</v>
      </c>
      <c r="BE45" s="14">
        <f>BD45*VLOOKUP('Données projet'!$B$11,Paramètres!$A$1:$I$89,3,0)*VLOOKUP('Données projet'!$B$11,Paramètres!$A$1:$I$89,5,0)</f>
        <v>134.65920000000006</v>
      </c>
      <c r="BF45" s="14">
        <f t="shared" si="37"/>
        <v>35.07074737441733</v>
      </c>
      <c r="BG45" s="22">
        <f t="shared" si="7"/>
        <v>295.61299167711024</v>
      </c>
      <c r="BH45" s="62">
        <f t="shared" si="8"/>
        <v>544.991657937745</v>
      </c>
      <c r="BI45" s="62">
        <f ca="1">AVERAGE(OFFSET($BH$3,0,0,'Données projet'!$E$11+1,1))-AVERAGE(OFFSET($H$3,0,0,'Données projet'!$E$11+1,1))</f>
        <v>396.06968288200386</v>
      </c>
      <c r="BJ45" s="62">
        <f t="shared" si="38"/>
        <v>273.35778700650792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19</v>
      </c>
      <c r="N46" s="14">
        <f>IF('Données projet'!$A$36&gt;35,N45+M46-V45,IF(A46&lt;'Données projet'!$A$36,$K$205^A46,IF(A46='Données projet'!$A$36,'Données projet'!$B$36,N45+M46-V45)))</f>
        <v>280.00000000000006</v>
      </c>
      <c r="O46" s="14">
        <f>N46*VLOOKUP('Données projet'!$B$9,Paramètres!$A$1:$I$89,3,0)*VLOOKUP('Données projet'!$B$9,Paramètres!$A$1:$I$89,5,0)</f>
        <v>167.44000000000005</v>
      </c>
      <c r="P46" s="14">
        <f t="shared" si="33"/>
        <v>42.516163405082935</v>
      </c>
      <c r="Q46" s="22">
        <f t="shared" si="53"/>
        <v>365.67365126385283</v>
      </c>
      <c r="R46" s="62">
        <f t="shared" si="0"/>
        <v>615.81483273028493</v>
      </c>
      <c r="S46" s="62">
        <f ca="1">AVERAGE(OFFSET($R$3,0,0,'Données projet'!$E$9+1,1))-AVERAGE(OFFSET($H$3,0,0,'Données projet'!$E$9+1,1))</f>
        <v>394.69391436029986</v>
      </c>
      <c r="T46" s="62">
        <f t="shared" si="34"/>
        <v>311.37245656657353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17.13322270798837</v>
      </c>
      <c r="AA46" s="23">
        <f>EXP(-LN(2)/25)*AA45+(1-EXP(-LN(2)/25))/(LN(2)/25)*Calculateur!V46*Calculateur!X46*VLOOKUP('Données projet'!$B$9,Paramètres!$A$1:$I$89,3,0)*0.475*44/12</f>
        <v>6.2287281221278823</v>
      </c>
      <c r="AB46" s="23">
        <f>EXP(-LN(2)/2)*AB45+(1-EXP(-LN(2)/2))/(LN(2)/2)*V46*Y46*VLOOKUP('Données projet'!$B$9,Paramètres!$A$1:$I$89,3,0)*0.475*44/12</f>
        <v>2.2265738734452469</v>
      </c>
      <c r="AC46" s="24">
        <f t="shared" si="3"/>
        <v>25.5885247035615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11.5</v>
      </c>
      <c r="AI46" s="14">
        <f>IF('Données projet'!$A$62&gt;35,AI45+AH46-AQ45,IF(A46&lt;'Données projet'!$A$62,$AF$205^A46,IF(A46='Données projet'!$A$62,'Données projet'!$B$62,AI45+AH46-AQ45)))</f>
        <v>227.50000000000006</v>
      </c>
      <c r="AJ46" s="14">
        <f>AI46*VLOOKUP('Données projet'!$B$10,Paramètres!$A$1:$I$89,3,0)*VLOOKUP('Données projet'!$B$10,Paramètres!$A$1:$I$89,5,0)</f>
        <v>106.47000000000003</v>
      </c>
      <c r="AK46" s="14">
        <f t="shared" si="35"/>
        <v>28.49771681771891</v>
      </c>
      <c r="AL46" s="22">
        <f t="shared" si="4"/>
        <v>235.06877345752716</v>
      </c>
      <c r="AM46" s="62">
        <f t="shared" si="5"/>
        <v>485.20995492395923</v>
      </c>
      <c r="AN46" s="62">
        <f ca="1">AVERAGE(OFFSET($AM$3,0,0,'Données projet'!$E$10+1,1))-AVERAGE(OFFSET($H$3,0,0,'Données projet'!$E$10+1,1))</f>
        <v>215.50514301701057</v>
      </c>
      <c r="AO46" s="62">
        <f t="shared" si="36"/>
        <v>273.18950868898253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14.784234286916687</v>
      </c>
      <c r="AV46" s="23">
        <f>EXP(-LN(2)/25)*AV45+(1-EXP(-LN(2)/25))/(LN(2)/25)*Calculateur!AQ46*Calculateur!AS46*VLOOKUP('Données projet'!$B$10,Paramètres!$A$1:$I$89,3,0)*0.475*44/12</f>
        <v>5.2630730559717849</v>
      </c>
      <c r="AW46" s="23">
        <f>EXP(-LN(2)/2)*AW45+(1-EXP(-LN(2)/2))/(LN(2)/2)*AQ46*AT46*VLOOKUP('Données projet'!$B$10,Paramètres!$A$1:$I$89,3,0)*0.475*44/12</f>
        <v>2.0539438163754773</v>
      </c>
      <c r="AX46" s="23">
        <f t="shared" si="6"/>
        <v>22.101251159263949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8.4</v>
      </c>
      <c r="BD46" s="13">
        <f>IF('Données projet'!$A$88&gt;35,BD45+BC46-BL45,IF(A46&lt;'Données projet'!$A$88,$BA$205^A46,IF(A46='Données projet'!$A$88,'Données projet'!$B$88,BD45+BC46-BL45)))</f>
        <v>141.20000000000005</v>
      </c>
      <c r="BE46" s="14">
        <f>BD46*VLOOKUP('Données projet'!$B$11,Paramètres!$A$1:$I$89,3,0)*VLOOKUP('Données projet'!$B$11,Paramètres!$A$1:$I$89,5,0)</f>
        <v>143.17680000000004</v>
      </c>
      <c r="BF46" s="14">
        <f t="shared" si="37"/>
        <v>37.023812674521515</v>
      </c>
      <c r="BG46" s="22">
        <f t="shared" si="7"/>
        <v>313.84940040812506</v>
      </c>
      <c r="BH46" s="62">
        <f t="shared" si="8"/>
        <v>563.99058187455717</v>
      </c>
      <c r="BI46" s="62">
        <f ca="1">AVERAGE(OFFSET($BH$3,0,0,'Données projet'!$E$11+1,1))-AVERAGE(OFFSET($H$3,0,0,'Données projet'!$E$11+1,1))</f>
        <v>396.06968288200386</v>
      </c>
      <c r="BJ46" s="62">
        <f t="shared" si="38"/>
        <v>273.35778700650792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19</v>
      </c>
      <c r="N47" s="14">
        <f>IF('Données projet'!$A$36&gt;35,N46+M47-V46,IF(A47&lt;'Données projet'!$A$36,$K$205^A47,IF(A47='Données projet'!$A$36,'Données projet'!$B$36,N46+M47-V46)))</f>
        <v>299.00000000000006</v>
      </c>
      <c r="O47" s="14">
        <f>N47*VLOOKUP('Données projet'!$B$9,Paramètres!$A$1:$I$89,3,0)*VLOOKUP('Données projet'!$B$9,Paramètres!$A$1:$I$89,5,0)</f>
        <v>178.80200000000002</v>
      </c>
      <c r="P47" s="14">
        <f t="shared" si="33"/>
        <v>45.055549739375941</v>
      </c>
      <c r="Q47" s="22">
        <f t="shared" si="53"/>
        <v>389.88523246274644</v>
      </c>
      <c r="R47" s="62">
        <f t="shared" si="0"/>
        <v>640.77570120088387</v>
      </c>
      <c r="S47" s="62">
        <f ca="1">AVERAGE(OFFSET($R$3,0,0,'Données projet'!$E$9+1,1))-AVERAGE(OFFSET($H$3,0,0,'Données projet'!$E$9+1,1))</f>
        <v>394.69391436029986</v>
      </c>
      <c r="T47" s="62">
        <f t="shared" si="34"/>
        <v>311.37245656657353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16.797250660918696</v>
      </c>
      <c r="AA47" s="23">
        <f>EXP(-LN(2)/25)*AA46+(1-EXP(-LN(2)/25))/(LN(2)/25)*Calculateur!V47*Calculateur!X47*VLOOKUP('Données projet'!$B$9,Paramètres!$A$1:$I$89,3,0)*0.475*44/12</f>
        <v>6.0584032240737198</v>
      </c>
      <c r="AB47" s="23">
        <f>EXP(-LN(2)/2)*AB46+(1-EXP(-LN(2)/2))/(LN(2)/2)*V47*Y47*VLOOKUP('Données projet'!$B$9,Paramètres!$A$1:$I$89,3,0)*0.475*44/12</f>
        <v>1.5744254847259318</v>
      </c>
      <c r="AC47" s="24">
        <f t="shared" si="3"/>
        <v>24.430079369718346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11.5</v>
      </c>
      <c r="AI47" s="14">
        <f>IF('Données projet'!$A$62&gt;35,AI46+AH47-AQ46,IF(A47&lt;'Données projet'!$A$62,$AF$205^A47,IF(A47='Données projet'!$A$62,'Données projet'!$B$62,AI46+AH47-AQ46)))</f>
        <v>239.00000000000006</v>
      </c>
      <c r="AJ47" s="14">
        <f>AI47*VLOOKUP('Données projet'!$B$10,Paramètres!$A$1:$I$89,3,0)*VLOOKUP('Données projet'!$B$10,Paramètres!$A$1:$I$89,5,0)</f>
        <v>111.85200000000003</v>
      </c>
      <c r="AK47" s="14">
        <f t="shared" si="35"/>
        <v>29.766905308078066</v>
      </c>
      <c r="AL47" s="22">
        <f t="shared" si="4"/>
        <v>246.65292674490271</v>
      </c>
      <c r="AM47" s="62">
        <f t="shared" si="5"/>
        <v>497.54339548304017</v>
      </c>
      <c r="AN47" s="62">
        <f ca="1">AVERAGE(OFFSET($AM$3,0,0,'Données projet'!$E$10+1,1))-AVERAGE(OFFSET($H$3,0,0,'Données projet'!$E$10+1,1))</f>
        <v>215.50514301701057</v>
      </c>
      <c r="AO47" s="62">
        <f t="shared" si="36"/>
        <v>273.18950868898253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14.494324470042763</v>
      </c>
      <c r="AV47" s="23">
        <f>EXP(-LN(2)/25)*AV46+(1-EXP(-LN(2)/25))/(LN(2)/25)*Calculateur!AQ47*Calculateur!AS47*VLOOKUP('Données projet'!$B$10,Paramètres!$A$1:$I$89,3,0)*0.475*44/12</f>
        <v>5.1191540464832537</v>
      </c>
      <c r="AW47" s="23">
        <f>EXP(-LN(2)/2)*AW46+(1-EXP(-LN(2)/2))/(LN(2)/2)*AQ47*AT47*VLOOKUP('Données projet'!$B$10,Paramètres!$A$1:$I$89,3,0)*0.475*44/12</f>
        <v>1.452357600735277</v>
      </c>
      <c r="AX47" s="23">
        <f t="shared" si="6"/>
        <v>21.065836117261291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8.4</v>
      </c>
      <c r="BD47" s="13">
        <f>IF('Données projet'!$A$88&gt;35,BD46+BC47-BL46,IF(A47&lt;'Données projet'!$A$88,$BA$205^A47,IF(A47='Données projet'!$A$88,'Données projet'!$B$88,BD46+BC47-BL46)))</f>
        <v>149.60000000000005</v>
      </c>
      <c r="BE47" s="14">
        <f>BD47*VLOOKUP('Données projet'!$B$11,Paramètres!$A$1:$I$89,3,0)*VLOOKUP('Données projet'!$B$11,Paramètres!$A$1:$I$89,5,0)</f>
        <v>151.69440000000006</v>
      </c>
      <c r="BF47" s="14">
        <f t="shared" si="37"/>
        <v>38.963392010880654</v>
      </c>
      <c r="BG47" s="22">
        <f t="shared" si="7"/>
        <v>332.06232108561721</v>
      </c>
      <c r="BH47" s="62">
        <f t="shared" si="8"/>
        <v>582.95278982375464</v>
      </c>
      <c r="BI47" s="62">
        <f ca="1">AVERAGE(OFFSET($BH$3,0,0,'Données projet'!$E$11+1,1))-AVERAGE(OFFSET($H$3,0,0,'Données projet'!$E$11+1,1))</f>
        <v>396.06968288200386</v>
      </c>
      <c r="BJ47" s="62">
        <f t="shared" si="38"/>
        <v>273.35778700650792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318</v>
      </c>
      <c r="L48" s="13">
        <f>VLOOKUP(A48,'Données projet'!$A$35:$I$55,9,0)</f>
        <v>19</v>
      </c>
      <c r="M48" s="13">
        <f t="array" ref="M48">INDEX(L:L,MIN(IF(ISNUMBER(L48:L244),ROW(L48:L244),"")))</f>
        <v>19</v>
      </c>
      <c r="N48" s="14">
        <f>IF('Données projet'!$A$36&gt;35,N47+M48-V47,IF(A48&lt;'Données projet'!$A$36,$K$205^A48,IF(A48='Données projet'!$A$36,'Données projet'!$B$36,N47+M48-V47)))</f>
        <v>318.00000000000006</v>
      </c>
      <c r="O48" s="14">
        <f>N48*VLOOKUP('Données projet'!$B$9,Paramètres!$A$1:$I$89,3,0)*VLOOKUP('Données projet'!$B$9,Paramètres!$A$1:$I$89,5,0)</f>
        <v>190.16400000000004</v>
      </c>
      <c r="P48" s="14">
        <f t="shared" si="33"/>
        <v>47.576209101852911</v>
      </c>
      <c r="Q48" s="22">
        <f t="shared" si="53"/>
        <v>414.06419751906054</v>
      </c>
      <c r="R48" s="62">
        <f t="shared" si="0"/>
        <v>665.6909550698947</v>
      </c>
      <c r="S48" s="62">
        <f ca="1">AVERAGE(OFFSET($R$3,0,0,'Données projet'!$E$9+1,1))-AVERAGE(OFFSET($H$3,0,0,'Données projet'!$E$9+1,1))</f>
        <v>394.69391436029986</v>
      </c>
      <c r="T48" s="62">
        <f t="shared" si="34"/>
        <v>311.37245656657353</v>
      </c>
      <c r="U48" s="16">
        <f>IF(ISNA(VLOOKUP(A48,'Données projet'!$A$35:$I$55,3,0)),0,VLOOKUP(A48,'Données projet'!$A$35:$I$55,3,0))</f>
        <v>6</v>
      </c>
      <c r="V48" s="16">
        <f>IF(ISNA(VLOOKUP(A48,'Données projet'!$A$35:$I$55,4,0)),0,VLOOKUP(A48,'Données projet'!$A$35:$I$55,4,0))</f>
        <v>53</v>
      </c>
      <c r="W48" s="17">
        <f>IF(ISNA(VLOOKUP(A48,'Données projet'!$A$35:$I$55,5,0)),0%,VLOOKUP(A48,'Données projet'!$A$35:$I$55,5,0)*VLOOKUP('Données projet'!$B$9,Paramètres!$A$1:$I$89,7,0))</f>
        <v>0.38250000000000001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0.15</v>
      </c>
      <c r="Z48" s="23">
        <f>EXP(-LN(2)/35)*Z47+(1-EXP(-LN(2)/35))/(LN(2)/35)*V48*W48*VLOOKUP('Données projet'!$B$9,Paramètres!$A$1:$I$89,3,0)*0.475*44/12</f>
        <v>32.549748018662392</v>
      </c>
      <c r="AA48" s="23">
        <f>EXP(-LN(2)/25)*AA47+(1-EXP(-LN(2)/25))/(LN(2)/25)*Calculateur!V48*Calculateur!X48*VLOOKUP('Données projet'!$B$9,Paramètres!$A$1:$I$89,3,0)*0.475*44/12</f>
        <v>5.892735869313845</v>
      </c>
      <c r="AB48" s="23">
        <f>EXP(-LN(2)/2)*AB47+(1-EXP(-LN(2)/2))/(LN(2)/2)*V48*Y48*VLOOKUP('Données projet'!$B$9,Paramètres!$A$1:$I$89,3,0)*0.475*44/12</f>
        <v>6.4960325023931942</v>
      </c>
      <c r="AC48" s="24">
        <f t="shared" si="3"/>
        <v>44.938516390369429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11.5</v>
      </c>
      <c r="AI48" s="14">
        <f>IF('Données projet'!$A$62&gt;35,AI47+AH48-AQ47,IF(A48&lt;'Données projet'!$A$62,$AF$205^A48,IF(A48='Données projet'!$A$62,'Données projet'!$B$62,AI47+AH48-AQ47)))</f>
        <v>250.50000000000006</v>
      </c>
      <c r="AJ48" s="14">
        <f>AI48*VLOOKUP('Données projet'!$B$10,Paramètres!$A$1:$I$89,3,0)*VLOOKUP('Données projet'!$B$10,Paramètres!$A$1:$I$89,5,0)</f>
        <v>117.23400000000004</v>
      </c>
      <c r="AK48" s="14">
        <f t="shared" si="35"/>
        <v>31.029002261277544</v>
      </c>
      <c r="AL48" s="22">
        <f t="shared" si="4"/>
        <v>258.22472893839176</v>
      </c>
      <c r="AM48" s="62">
        <f t="shared" si="5"/>
        <v>509.85148648922586</v>
      </c>
      <c r="AN48" s="62">
        <f ca="1">AVERAGE(OFFSET($AM$3,0,0,'Données projet'!$E$10+1,1))-AVERAGE(OFFSET($H$3,0,0,'Données projet'!$E$10+1,1))</f>
        <v>215.50514301701057</v>
      </c>
      <c r="AO48" s="62">
        <f t="shared" si="36"/>
        <v>273.18950868898253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14.210099607850207</v>
      </c>
      <c r="AV48" s="23">
        <f>EXP(-LN(2)/25)*AV47+(1-EXP(-LN(2)/25))/(LN(2)/25)*Calculateur!AQ48*Calculateur!AS48*VLOOKUP('Données projet'!$B$10,Paramètres!$A$1:$I$89,3,0)*0.475*44/12</f>
        <v>4.9791705098775578</v>
      </c>
      <c r="AW48" s="23">
        <f>EXP(-LN(2)/2)*AW47+(1-EXP(-LN(2)/2))/(LN(2)/2)*AQ48*AT48*VLOOKUP('Données projet'!$B$10,Paramètres!$A$1:$I$89,3,0)*0.475*44/12</f>
        <v>1.0269719081877386</v>
      </c>
      <c r="AX48" s="23">
        <f t="shared" si="6"/>
        <v>20.216242025915506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158</v>
      </c>
      <c r="BB48" s="13">
        <f>VLOOKUP(A48,'Données projet'!$A$87:$I$107,9,0)</f>
        <v>8.4</v>
      </c>
      <c r="BC48" s="13">
        <f t="array" ref="BC48">INDEX(BB:BB,MIN(IF(ISNUMBER(BB48:BB244),ROW(BB48:BB244),"")))</f>
        <v>8.4</v>
      </c>
      <c r="BD48" s="13">
        <f>IF('Données projet'!$A$88&gt;35,BD47+BC48-BL47,IF(A48&lt;'Données projet'!$A$88,$BA$205^A48,IF(A48='Données projet'!$A$88,'Données projet'!$B$88,BD47+BC48-BL47)))</f>
        <v>158.00000000000006</v>
      </c>
      <c r="BE48" s="14">
        <f>BD48*VLOOKUP('Données projet'!$B$11,Paramètres!$A$1:$I$89,3,0)*VLOOKUP('Données projet'!$B$11,Paramètres!$A$1:$I$89,5,0)</f>
        <v>160.21200000000007</v>
      </c>
      <c r="BF48" s="14">
        <f t="shared" si="37"/>
        <v>40.890328912852731</v>
      </c>
      <c r="BG48" s="22">
        <f t="shared" si="7"/>
        <v>350.25322285655193</v>
      </c>
      <c r="BH48" s="62">
        <f t="shared" si="8"/>
        <v>601.87998040738603</v>
      </c>
      <c r="BI48" s="62">
        <f ca="1">AVERAGE(OFFSET($BH$3,0,0,'Données projet'!$E$11+1,1))-AVERAGE(OFFSET($H$3,0,0,'Données projet'!$E$11+1,1))</f>
        <v>396.06968288200386</v>
      </c>
      <c r="BJ48" s="62">
        <f t="shared" si="38"/>
        <v>273.35778700650792</v>
      </c>
      <c r="BK48" s="16">
        <f>IF(ISNA(VLOOKUP(A48,'Données projet'!$A$87:$I$107,3,0)),0,VLOOKUP(A48,'Données projet'!$A$87:$I$107,3,0))</f>
        <v>5</v>
      </c>
      <c r="BL48" s="16">
        <f>IF(ISNA(VLOOKUP(A48,'Données projet'!$A$87:$I$107,4,0)),0,VLOOKUP(A48,'Données projet'!$A$87:$I$107,4,0))</f>
        <v>21</v>
      </c>
      <c r="BM48" s="17">
        <f>IF(ISNA(VLOOKUP(A48,'Données projet'!$A$87:$I$107,5,0)),0%,VLOOKUP(A48,'Données projet'!$A$87:$I$107,5,0)*VLOOKUP('Données projet'!$B$11,Paramètres!$A$1:$I$89,7,0))</f>
        <v>0.17200000000000001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4.0488604370252395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4.0488604370252395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17.399999999999999</v>
      </c>
      <c r="N49" s="14">
        <f>IF('Données projet'!$A$36&gt;35,N48+M49-V48,IF(A49&lt;'Données projet'!$A$36,$K$205^A49,IF(A49='Données projet'!$A$36,'Données projet'!$B$36,N48+M49-V48)))</f>
        <v>282.40000000000003</v>
      </c>
      <c r="O49" s="14">
        <f>N49*VLOOKUP('Données projet'!$B$9,Paramètres!$A$1:$I$89,3,0)*VLOOKUP('Données projet'!$B$9,Paramètres!$A$1:$I$89,5,0)</f>
        <v>168.87520000000004</v>
      </c>
      <c r="P49" s="14">
        <f t="shared" si="33"/>
        <v>42.838008554673955</v>
      </c>
      <c r="Q49" s="22">
        <f t="shared" si="53"/>
        <v>368.73383823272388</v>
      </c>
      <c r="R49" s="62">
        <f t="shared" si="0"/>
        <v>621.08411163144956</v>
      </c>
      <c r="S49" s="62">
        <f ca="1">AVERAGE(OFFSET($R$3,0,0,'Données projet'!$E$9+1,1))-AVERAGE(OFFSET($H$3,0,0,'Données projet'!$E$9+1,1))</f>
        <v>394.69391436029986</v>
      </c>
      <c r="T49" s="62">
        <f t="shared" si="34"/>
        <v>311.37245656657353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31.911467313402355</v>
      </c>
      <c r="AA49" s="23">
        <f>EXP(-LN(2)/25)*AA48+(1-EXP(-LN(2)/25))/(LN(2)/25)*Calculateur!V49*Calculateur!X49*VLOOKUP('Données projet'!$B$9,Paramètres!$A$1:$I$89,3,0)*0.475*44/12</f>
        <v>5.7315986970819468</v>
      </c>
      <c r="AB49" s="23">
        <f>EXP(-LN(2)/2)*AB48+(1-EXP(-LN(2)/2))/(LN(2)/2)*V49*Y49*VLOOKUP('Données projet'!$B$9,Paramètres!$A$1:$I$89,3,0)*0.475*44/12</f>
        <v>4.593388633250445</v>
      </c>
      <c r="AC49" s="24">
        <f t="shared" si="3"/>
        <v>42.236454643734746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11.5</v>
      </c>
      <c r="AI49" s="14">
        <f>IF('Données projet'!$A$62&gt;35,AI48+AH49-AQ48,IF(A49&lt;'Données projet'!$A$62,$AF$205^A49,IF(A49='Données projet'!$A$62,'Données projet'!$B$62,AI48+AH49-AQ48)))</f>
        <v>262.00000000000006</v>
      </c>
      <c r="AJ49" s="14">
        <f>AI49*VLOOKUP('Données projet'!$B$10,Paramètres!$A$1:$I$89,3,0)*VLOOKUP('Données projet'!$B$10,Paramètres!$A$1:$I$89,5,0)</f>
        <v>122.61600000000003</v>
      </c>
      <c r="AK49" s="14">
        <f t="shared" si="35"/>
        <v>32.284370423104164</v>
      </c>
      <c r="AL49" s="22">
        <f t="shared" si="4"/>
        <v>269.78481182023978</v>
      </c>
      <c r="AM49" s="62">
        <f t="shared" si="5"/>
        <v>522.1350852189654</v>
      </c>
      <c r="AN49" s="62">
        <f ca="1">AVERAGE(OFFSET($AM$3,0,0,'Données projet'!$E$10+1,1))-AVERAGE(OFFSET($H$3,0,0,'Données projet'!$E$10+1,1))</f>
        <v>215.50514301701057</v>
      </c>
      <c r="AO49" s="62">
        <f t="shared" si="36"/>
        <v>273.18950868898253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13.9314482218452</v>
      </c>
      <c r="AV49" s="23">
        <f>EXP(-LN(2)/25)*AV48+(1-EXP(-LN(2)/25))/(LN(2)/25)*Calculateur!AQ49*Calculateur!AS49*VLOOKUP('Données projet'!$B$10,Paramètres!$A$1:$I$89,3,0)*0.475*44/12</f>
        <v>4.8430148304417591</v>
      </c>
      <c r="AW49" s="23">
        <f>EXP(-LN(2)/2)*AW48+(1-EXP(-LN(2)/2))/(LN(2)/2)*AQ49*AT49*VLOOKUP('Données projet'!$B$10,Paramètres!$A$1:$I$89,3,0)*0.475*44/12</f>
        <v>0.72617880036763849</v>
      </c>
      <c r="AX49" s="23">
        <f t="shared" si="6"/>
        <v>19.500641852654596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8.1999999999999993</v>
      </c>
      <c r="BD49" s="13">
        <f>IF('Données projet'!$A$88&gt;35,BD48+BC49-BL48,IF(A49&lt;'Données projet'!$A$88,$BA$205^A49,IF(A49='Données projet'!$A$88,'Données projet'!$B$88,BD48+BC49-BL48)))</f>
        <v>145.20000000000005</v>
      </c>
      <c r="BE49" s="14">
        <f>BD49*VLOOKUP('Données projet'!$B$11,Paramètres!$A$1:$I$89,3,0)*VLOOKUP('Données projet'!$B$11,Paramètres!$A$1:$I$89,5,0)</f>
        <v>147.23280000000005</v>
      </c>
      <c r="BF49" s="14">
        <f t="shared" si="37"/>
        <v>37.949049623906205</v>
      </c>
      <c r="BG49" s="22">
        <f t="shared" si="7"/>
        <v>322.52505476163668</v>
      </c>
      <c r="BH49" s="62">
        <f t="shared" si="8"/>
        <v>574.8753281603623</v>
      </c>
      <c r="BI49" s="62">
        <f ca="1">AVERAGE(OFFSET($BH$3,0,0,'Données projet'!$E$11+1,1))-AVERAGE(OFFSET($H$3,0,0,'Données projet'!$E$11+1,1))</f>
        <v>396.06968288200386</v>
      </c>
      <c r="BJ49" s="62">
        <f t="shared" si="38"/>
        <v>273.35778700650792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3.969464753416192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3.969464753416192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17.399999999999999</v>
      </c>
      <c r="N50" s="14">
        <f>IF('Données projet'!$A$36&gt;35,N49+M50-V49,IF(A50&lt;'Données projet'!$A$36,$K$205^A50,IF(A50='Données projet'!$A$36,'Données projet'!$B$36,N49+M50-V49)))</f>
        <v>299.8</v>
      </c>
      <c r="O50" s="14">
        <f>N50*VLOOKUP('Données projet'!$B$9,Paramètres!$A$1:$I$89,3,0)*VLOOKUP('Données projet'!$B$9,Paramètres!$A$1:$I$89,5,0)</f>
        <v>179.28040000000001</v>
      </c>
      <c r="P50" s="14">
        <f t="shared" si="33"/>
        <v>45.162051118824294</v>
      </c>
      <c r="Q50" s="22">
        <f t="shared" si="53"/>
        <v>390.90393569861902</v>
      </c>
      <c r="R50" s="62">
        <f t="shared" si="0"/>
        <v>643.96517356281447</v>
      </c>
      <c r="S50" s="62">
        <f ca="1">AVERAGE(OFFSET($R$3,0,0,'Données projet'!$E$9+1,1))-AVERAGE(OFFSET($H$3,0,0,'Données projet'!$E$9+1,1))</f>
        <v>394.69391436029986</v>
      </c>
      <c r="T50" s="62">
        <f t="shared" si="34"/>
        <v>311.37245656657353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31.285702903459679</v>
      </c>
      <c r="AA50" s="23">
        <f>EXP(-LN(2)/25)*AA49+(1-EXP(-LN(2)/25))/(LN(2)/25)*Calculateur!V50*Calculateur!X50*VLOOKUP('Données projet'!$B$9,Paramètres!$A$1:$I$89,3,0)*0.475*44/12</f>
        <v>5.5748678292985652</v>
      </c>
      <c r="AB50" s="23">
        <f>EXP(-LN(2)/2)*AB49+(1-EXP(-LN(2)/2))/(LN(2)/2)*V50*Y50*VLOOKUP('Données projet'!$B$9,Paramètres!$A$1:$I$89,3,0)*0.475*44/12</f>
        <v>3.2480162511965971</v>
      </c>
      <c r="AC50" s="24">
        <f t="shared" si="3"/>
        <v>40.108586983954844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11.5</v>
      </c>
      <c r="AI50" s="14">
        <f>IF('Données projet'!$A$62&gt;35,AI49+AH50-AQ49,IF(A50&lt;'Données projet'!$A$62,$AF$205^A50,IF(A50='Données projet'!$A$62,'Données projet'!$B$62,AI49+AH50-AQ49)))</f>
        <v>273.50000000000006</v>
      </c>
      <c r="AJ50" s="14">
        <f>AI50*VLOOKUP('Données projet'!$B$10,Paramètres!$A$1:$I$89,3,0)*VLOOKUP('Données projet'!$B$10,Paramètres!$A$1:$I$89,5,0)</f>
        <v>127.99800000000003</v>
      </c>
      <c r="AK50" s="14">
        <f t="shared" si="35"/>
        <v>33.533338894635342</v>
      </c>
      <c r="AL50" s="22">
        <f t="shared" si="4"/>
        <v>281.33374857482323</v>
      </c>
      <c r="AM50" s="62">
        <f t="shared" si="5"/>
        <v>534.39498643901857</v>
      </c>
      <c r="AN50" s="62">
        <f ca="1">AVERAGE(OFFSET($AM$3,0,0,'Données projet'!$E$10+1,1))-AVERAGE(OFFSET($H$3,0,0,'Données projet'!$E$10+1,1))</f>
        <v>215.50514301701057</v>
      </c>
      <c r="AO50" s="62">
        <f t="shared" si="36"/>
        <v>273.18950868898253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13.658261019559188</v>
      </c>
      <c r="AV50" s="23">
        <f>EXP(-LN(2)/25)*AV49+(1-EXP(-LN(2)/25))/(LN(2)/25)*Calculateur!AQ50*Calculateur!AS50*VLOOKUP('Données projet'!$B$10,Paramètres!$A$1:$I$89,3,0)*0.475*44/12</f>
        <v>4.7105823352202485</v>
      </c>
      <c r="AW50" s="23">
        <f>EXP(-LN(2)/2)*AW49+(1-EXP(-LN(2)/2))/(LN(2)/2)*AQ50*AT50*VLOOKUP('Données projet'!$B$10,Paramètres!$A$1:$I$89,3,0)*0.475*44/12</f>
        <v>0.51348595409386932</v>
      </c>
      <c r="AX50" s="23">
        <f t="shared" si="6"/>
        <v>18.882329308873306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8.1999999999999993</v>
      </c>
      <c r="BD50" s="13">
        <f>IF('Données projet'!$A$88&gt;35,BD49+BC50-BL49,IF(A50&lt;'Données projet'!$A$88,$BA$205^A50,IF(A50='Données projet'!$A$88,'Données projet'!$B$88,BD49+BC50-BL49)))</f>
        <v>153.40000000000003</v>
      </c>
      <c r="BE50" s="14">
        <f>BD50*VLOOKUP('Données projet'!$B$11,Paramètres!$A$1:$I$89,3,0)*VLOOKUP('Données projet'!$B$11,Paramètres!$A$1:$I$89,5,0)</f>
        <v>155.54760000000005</v>
      </c>
      <c r="BF50" s="14">
        <f t="shared" si="37"/>
        <v>39.836620617816237</v>
      </c>
      <c r="BG50" s="22">
        <f t="shared" si="7"/>
        <v>340.29418424269664</v>
      </c>
      <c r="BH50" s="62">
        <f t="shared" si="8"/>
        <v>593.35542210689209</v>
      </c>
      <c r="BI50" s="62">
        <f ca="1">AVERAGE(OFFSET($BH$3,0,0,'Données projet'!$E$11+1,1))-AVERAGE(OFFSET($H$3,0,0,'Données projet'!$E$11+1,1))</f>
        <v>396.06968288200386</v>
      </c>
      <c r="BJ50" s="62">
        <f t="shared" si="38"/>
        <v>273.35778700650792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3.8916259707361327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3.8916259707361327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17.399999999999999</v>
      </c>
      <c r="N51" s="14">
        <f>IF('Données projet'!$A$36&gt;35,N50+M51-V50,IF(A51&lt;'Données projet'!$A$36,$K$205^A51,IF(A51='Données projet'!$A$36,'Données projet'!$B$36,N50+M51-V50)))</f>
        <v>317.2</v>
      </c>
      <c r="O51" s="14">
        <f>N51*VLOOKUP('Données projet'!$B$9,Paramètres!$A$1:$I$89,3,0)*VLOOKUP('Données projet'!$B$9,Paramètres!$A$1:$I$89,5,0)</f>
        <v>189.68560000000002</v>
      </c>
      <c r="P51" s="14">
        <f t="shared" si="33"/>
        <v>47.470436776872745</v>
      </c>
      <c r="Q51" s="22">
        <f t="shared" si="53"/>
        <v>413.04676405305344</v>
      </c>
      <c r="R51" s="62">
        <f t="shared" si="0"/>
        <v>666.80663273872119</v>
      </c>
      <c r="S51" s="62">
        <f ca="1">AVERAGE(OFFSET($R$3,0,0,'Données projet'!$E$9+1,1))-AVERAGE(OFFSET($H$3,0,0,'Données projet'!$E$9+1,1))</f>
        <v>394.69391436029986</v>
      </c>
      <c r="T51" s="62">
        <f t="shared" si="34"/>
        <v>311.37245656657353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30.672209351917378</v>
      </c>
      <c r="AA51" s="23">
        <f>EXP(-LN(2)/25)*AA50+(1-EXP(-LN(2)/25))/(LN(2)/25)*Calculateur!V51*Calculateur!X51*VLOOKUP('Données projet'!$B$9,Paramètres!$A$1:$I$89,3,0)*0.475*44/12</f>
        <v>5.4224227753368384</v>
      </c>
      <c r="AB51" s="23">
        <f>EXP(-LN(2)/2)*AB50+(1-EXP(-LN(2)/2))/(LN(2)/2)*V51*Y51*VLOOKUP('Données projet'!$B$9,Paramètres!$A$1:$I$89,3,0)*0.475*44/12</f>
        <v>2.2966943166252225</v>
      </c>
      <c r="AC51" s="24">
        <f t="shared" si="3"/>
        <v>38.391326443879436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11.5</v>
      </c>
      <c r="AI51" s="14">
        <f>IF('Données projet'!$A$62&gt;35,AI50+AH51-AQ50,IF(A51&lt;'Données projet'!$A$62,$AF$205^A51,IF(A51='Données projet'!$A$62,'Données projet'!$B$62,AI50+AH51-AQ50)))</f>
        <v>285.00000000000006</v>
      </c>
      <c r="AJ51" s="14">
        <f>AI51*VLOOKUP('Données projet'!$B$10,Paramètres!$A$1:$I$89,3,0)*VLOOKUP('Données projet'!$B$10,Paramètres!$A$1:$I$89,5,0)</f>
        <v>133.38000000000002</v>
      </c>
      <c r="AK51" s="14">
        <f t="shared" si="35"/>
        <v>34.776207535548991</v>
      </c>
      <c r="AL51" s="22">
        <f t="shared" si="4"/>
        <v>292.87206145774786</v>
      </c>
      <c r="AM51" s="62">
        <f t="shared" si="5"/>
        <v>546.6319301434155</v>
      </c>
      <c r="AN51" s="62">
        <f ca="1">AVERAGE(OFFSET($AM$3,0,0,'Données projet'!$E$10+1,1))-AVERAGE(OFFSET($H$3,0,0,'Données projet'!$E$10+1,1))</f>
        <v>215.50514301701057</v>
      </c>
      <c r="AO51" s="62">
        <f t="shared" si="36"/>
        <v>273.18950868898253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13.390430851682265</v>
      </c>
      <c r="AV51" s="23">
        <f>EXP(-LN(2)/25)*AV50+(1-EXP(-LN(2)/25))/(LN(2)/25)*Calculateur!AQ51*Calculateur!AS51*VLOOKUP('Données projet'!$B$10,Paramètres!$A$1:$I$89,3,0)*0.475*44/12</f>
        <v>4.5817712135448918</v>
      </c>
      <c r="AW51" s="23">
        <f>EXP(-LN(2)/2)*AW50+(1-EXP(-LN(2)/2))/(LN(2)/2)*AQ51*AT51*VLOOKUP('Données projet'!$B$10,Paramètres!$A$1:$I$89,3,0)*0.475*44/12</f>
        <v>0.36308940018381924</v>
      </c>
      <c r="AX51" s="23">
        <f t="shared" si="6"/>
        <v>18.335291465410979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8.1999999999999993</v>
      </c>
      <c r="BD51" s="13">
        <f>IF('Données projet'!$A$88&gt;35,BD50+BC51-BL50,IF(A51&lt;'Données projet'!$A$88,$BA$205^A51,IF(A51='Données projet'!$A$88,'Données projet'!$B$88,BD50+BC51-BL50)))</f>
        <v>161.60000000000002</v>
      </c>
      <c r="BE51" s="14">
        <f>BD51*VLOOKUP('Données projet'!$B$11,Paramètres!$A$1:$I$89,3,0)*VLOOKUP('Données projet'!$B$11,Paramètres!$A$1:$I$89,5,0)</f>
        <v>163.86240000000004</v>
      </c>
      <c r="BF51" s="14">
        <f t="shared" si="37"/>
        <v>41.712477409029084</v>
      </c>
      <c r="BG51" s="22">
        <f t="shared" si="7"/>
        <v>358.0429114873923</v>
      </c>
      <c r="BH51" s="62">
        <f t="shared" si="8"/>
        <v>611.80278017306</v>
      </c>
      <c r="BI51" s="62">
        <f ca="1">AVERAGE(OFFSET($BH$3,0,0,'Données projet'!$E$11+1,1))-AVERAGE(OFFSET($H$3,0,0,'Données projet'!$E$11+1,1))</f>
        <v>396.06968288200386</v>
      </c>
      <c r="BJ51" s="62">
        <f t="shared" si="38"/>
        <v>273.35778700650792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3.8153135591074601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3.8153135591074601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17.399999999999999</v>
      </c>
      <c r="N52" s="14">
        <f>IF('Données projet'!$A$36&gt;35,N51+M52-V51,IF(A52&lt;'Données projet'!$A$36,$K$205^A52,IF(A52='Données projet'!$A$36,'Données projet'!$B$36,N51+M52-V51)))</f>
        <v>334.59999999999997</v>
      </c>
      <c r="O52" s="14">
        <f>N52*VLOOKUP('Données projet'!$B$9,Paramètres!$A$1:$I$89,3,0)*VLOOKUP('Données projet'!$B$9,Paramètres!$A$1:$I$89,5,0)</f>
        <v>200.0908</v>
      </c>
      <c r="P52" s="14">
        <f t="shared" si="33"/>
        <v>49.764122289960234</v>
      </c>
      <c r="Q52" s="22">
        <f t="shared" si="53"/>
        <v>435.16398965501406</v>
      </c>
      <c r="R52" s="62">
        <f t="shared" si="0"/>
        <v>689.61036947930597</v>
      </c>
      <c r="S52" s="62">
        <f ca="1">AVERAGE(OFFSET($R$3,0,0,'Données projet'!$E$9+1,1))-AVERAGE(OFFSET($H$3,0,0,'Données projet'!$E$9+1,1))</f>
        <v>394.69391436029986</v>
      </c>
      <c r="T52" s="62">
        <f t="shared" si="34"/>
        <v>311.37245656657353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30.070746034726699</v>
      </c>
      <c r="AA52" s="23">
        <f>EXP(-LN(2)/25)*AA51+(1-EXP(-LN(2)/25))/(LN(2)/25)*Calculateur!V52*Calculateur!X52*VLOOKUP('Données projet'!$B$9,Paramètres!$A$1:$I$89,3,0)*0.475*44/12</f>
        <v>5.2741463393924315</v>
      </c>
      <c r="AB52" s="23">
        <f>EXP(-LN(2)/2)*AB51+(1-EXP(-LN(2)/2))/(LN(2)/2)*V52*Y52*VLOOKUP('Données projet'!$B$9,Paramètres!$A$1:$I$89,3,0)*0.475*44/12</f>
        <v>1.6240081255982985</v>
      </c>
      <c r="AC52" s="24">
        <f t="shared" si="3"/>
        <v>36.968900499717435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11.5</v>
      </c>
      <c r="AI52" s="14">
        <f>IF('Données projet'!$A$62&gt;35,AI51+AH52-AQ51,IF(A52&lt;'Données projet'!$A$62,$AF$205^A52,IF(A52='Données projet'!$A$62,'Données projet'!$B$62,AI51+AH52-AQ51)))</f>
        <v>296.50000000000006</v>
      </c>
      <c r="AJ52" s="14">
        <f>AI52*VLOOKUP('Données projet'!$B$10,Paramètres!$A$1:$I$89,3,0)*VLOOKUP('Données projet'!$B$10,Paramètres!$A$1:$I$89,5,0)</f>
        <v>138.76200000000003</v>
      </c>
      <c r="AK52" s="14">
        <f t="shared" si="35"/>
        <v>36.01325063671441</v>
      </c>
      <c r="AL52" s="22">
        <f t="shared" si="4"/>
        <v>304.40022819227767</v>
      </c>
      <c r="AM52" s="62">
        <f t="shared" si="5"/>
        <v>558.84660801656969</v>
      </c>
      <c r="AN52" s="62">
        <f ca="1">AVERAGE(OFFSET($AM$3,0,0,'Données projet'!$E$10+1,1))-AVERAGE(OFFSET($H$3,0,0,'Données projet'!$E$10+1,1))</f>
        <v>215.50514301701057</v>
      </c>
      <c r="AO52" s="62">
        <f t="shared" si="36"/>
        <v>273.18950868898253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13.127852670037136</v>
      </c>
      <c r="AV52" s="23">
        <f>EXP(-LN(2)/25)*AV51+(1-EXP(-LN(2)/25))/(LN(2)/25)*Calculateur!AQ52*Calculateur!AS52*VLOOKUP('Données projet'!$B$10,Paramètres!$A$1:$I$89,3,0)*0.475*44/12</f>
        <v>4.4564824387656303</v>
      </c>
      <c r="AW52" s="23">
        <f>EXP(-LN(2)/2)*AW51+(1-EXP(-LN(2)/2))/(LN(2)/2)*AQ52*AT52*VLOOKUP('Données projet'!$B$10,Paramètres!$A$1:$I$89,3,0)*0.475*44/12</f>
        <v>0.25674297704693466</v>
      </c>
      <c r="AX52" s="23">
        <f t="shared" si="6"/>
        <v>17.841078085849698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8.1999999999999993</v>
      </c>
      <c r="BD52" s="13">
        <f>IF('Données projet'!$A$88&gt;35,BD51+BC52-BL51,IF(A52&lt;'Données projet'!$A$88,$BA$205^A52,IF(A52='Données projet'!$A$88,'Données projet'!$B$88,BD51+BC52-BL51)))</f>
        <v>169.8</v>
      </c>
      <c r="BE52" s="14">
        <f>BD52*VLOOKUP('Données projet'!$B$11,Paramètres!$A$1:$I$89,3,0)*VLOOKUP('Données projet'!$B$11,Paramètres!$A$1:$I$89,5,0)</f>
        <v>172.1772</v>
      </c>
      <c r="BF52" s="14">
        <f t="shared" si="37"/>
        <v>43.577282221917017</v>
      </c>
      <c r="BG52" s="22">
        <f t="shared" si="7"/>
        <v>375.77238986983883</v>
      </c>
      <c r="BH52" s="62">
        <f t="shared" si="8"/>
        <v>630.21876969413074</v>
      </c>
      <c r="BI52" s="62">
        <f ca="1">AVERAGE(OFFSET($BH$3,0,0,'Données projet'!$E$11+1,1))-AVERAGE(OFFSET($H$3,0,0,'Données projet'!$E$11+1,1))</f>
        <v>396.06968288200386</v>
      </c>
      <c r="BJ52" s="62">
        <f t="shared" si="38"/>
        <v>273.35778700650792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3.7404975873248505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3.7404975873248505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352</v>
      </c>
      <c r="L53" s="13">
        <f>VLOOKUP(A53,'Données projet'!$A$35:$I$55,9,0)</f>
        <v>17.399999999999999</v>
      </c>
      <c r="M53" s="13">
        <f t="array" ref="M53">INDEX(L:L,MIN(IF(ISNUMBER(L53:L249),ROW(L53:L249),"")))</f>
        <v>17.399999999999999</v>
      </c>
      <c r="N53" s="14">
        <f>IF('Données projet'!$A$36&gt;35,N52+M53-V52,IF(A53&lt;'Données projet'!$A$36,$K$205^A53,IF(A53='Données projet'!$A$36,'Données projet'!$B$36,N52+M53-V52)))</f>
        <v>351.99999999999994</v>
      </c>
      <c r="O53" s="14">
        <f>N53*VLOOKUP('Données projet'!$B$9,Paramètres!$A$1:$I$89,3,0)*VLOOKUP('Données projet'!$B$9,Paramètres!$A$1:$I$89,5,0)</f>
        <v>210.49599999999998</v>
      </c>
      <c r="P53" s="14">
        <f t="shared" si="33"/>
        <v>52.043959291168463</v>
      </c>
      <c r="Q53" s="22">
        <f t="shared" si="53"/>
        <v>457.25709576545165</v>
      </c>
      <c r="R53" s="62">
        <f t="shared" si="0"/>
        <v>712.3780772949217</v>
      </c>
      <c r="S53" s="62">
        <f ca="1">AVERAGE(OFFSET($R$3,0,0,'Données projet'!$E$9+1,1))-AVERAGE(OFFSET($H$3,0,0,'Données projet'!$E$9+1,1))</f>
        <v>394.69391436029986</v>
      </c>
      <c r="T53" s="62">
        <f t="shared" si="34"/>
        <v>311.37245656657353</v>
      </c>
      <c r="U53" s="16">
        <f>IF(ISNA(VLOOKUP(A53,'Données projet'!$A$35:$I$55,3,0)),0,VLOOKUP(A53,'Données projet'!$A$35:$I$55,3,0))</f>
        <v>7</v>
      </c>
      <c r="V53" s="16">
        <f>IF(ISNA(VLOOKUP(A53,'Données projet'!$A$35:$I$55,4,0)),0,VLOOKUP(A53,'Données projet'!$A$35:$I$55,4,0))</f>
        <v>53</v>
      </c>
      <c r="W53" s="17">
        <f>IF(ISNA(VLOOKUP(A53,'Données projet'!$A$35:$I$55,5,0)),0%,VLOOKUP(A53,'Données projet'!$A$35:$I$55,5,0)*VLOOKUP('Données projet'!$B$9,Paramètres!$A$1:$I$89,7,0))</f>
        <v>0.38250000000000001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0.15</v>
      </c>
      <c r="Z53" s="23">
        <f>EXP(-LN(2)/35)*Z52+(1-EXP(-LN(2)/35))/(LN(2)/35)*V53*W53*VLOOKUP('Données projet'!$B$9,Paramètres!$A$1:$I$89,3,0)*0.475*44/12</f>
        <v>45.562958244222784</v>
      </c>
      <c r="AA53" s="23">
        <f>EXP(-LN(2)/25)*AA52+(1-EXP(-LN(2)/25))/(LN(2)/25)*Calculateur!V53*Calculateur!X53*VLOOKUP('Données projet'!$B$9,Paramètres!$A$1:$I$89,3,0)*0.475*44/12</f>
        <v>5.129924530386444</v>
      </c>
      <c r="AB53" s="23">
        <f>EXP(-LN(2)/2)*AB52+(1-EXP(-LN(2)/2))/(LN(2)/2)*V53*Y53*VLOOKUP('Données projet'!$B$9,Paramètres!$A$1:$I$89,3,0)*0.475*44/12</f>
        <v>6.531092723983182</v>
      </c>
      <c r="AC53" s="24">
        <f t="shared" si="3"/>
        <v>57.223975498592409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308</v>
      </c>
      <c r="AG53" s="13">
        <f>VLOOKUP(A53,'Données projet'!$A$61:$I$81,9,0)</f>
        <v>11.5</v>
      </c>
      <c r="AH53" s="13">
        <f t="array" ref="AH53">INDEX(AG:AG,MIN(IF(ISNUMBER(AG53:AG249),ROW(AG53:AG249),"")))</f>
        <v>11.5</v>
      </c>
      <c r="AI53" s="14">
        <f>IF('Données projet'!$A$62&gt;35,AI52+AH53-AQ52,IF(A53&lt;'Données projet'!$A$62,$AF$205^A53,IF(A53='Données projet'!$A$62,'Données projet'!$B$62,AI52+AH53-AQ52)))</f>
        <v>308.00000000000006</v>
      </c>
      <c r="AJ53" s="14">
        <f>AI53*VLOOKUP('Données projet'!$B$10,Paramètres!$A$1:$I$89,3,0)*VLOOKUP('Données projet'!$B$10,Paramètres!$A$1:$I$89,5,0)</f>
        <v>144.14400000000001</v>
      </c>
      <c r="AK53" s="14">
        <f t="shared" si="35"/>
        <v>37.244720006976252</v>
      </c>
      <c r="AL53" s="22">
        <f t="shared" si="4"/>
        <v>315.91868734548365</v>
      </c>
      <c r="AM53" s="62">
        <f t="shared" si="5"/>
        <v>571.0396688749538</v>
      </c>
      <c r="AN53" s="62">
        <f ca="1">AVERAGE(OFFSET($AM$3,0,0,'Données projet'!$E$10+1,1))-AVERAGE(OFFSET($H$3,0,0,'Données projet'!$E$10+1,1))</f>
        <v>215.50514301701057</v>
      </c>
      <c r="AO53" s="62">
        <f t="shared" si="36"/>
        <v>273.18950868898253</v>
      </c>
      <c r="AP53" s="16">
        <f>IF(ISNA(VLOOKUP(A53,'Données projet'!$A$61:$I$81,3,0)),0,VLOOKUP(A53,'Données projet'!$A$61:$I$81,3,0))</f>
        <v>4</v>
      </c>
      <c r="AQ53" s="16">
        <f>IF(ISNA(VLOOKUP(A53,'Données projet'!$A$61:$I$81,4,0)),0,VLOOKUP(A53,'Données projet'!$A$61:$I$81,4,0))</f>
        <v>77</v>
      </c>
      <c r="AR53" s="17">
        <f>IF(ISNA(VLOOKUP(A53,'Données projet'!$A$61:$I$81,5,0)),0%,VLOOKUP(A53,'Données projet'!$A$61:$I$81,5,0)*VLOOKUP('Données projet'!$B$10,Paramètres!$A$1:$I$89,7,0))</f>
        <v>0.46750000000000003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0.15</v>
      </c>
      <c r="AU53" s="23">
        <f>EXP(-LN(2)/35)*AU52+(1-EXP(-LN(2)/35))/(LN(2)/35)*AQ53*AR53*VLOOKUP('Données projet'!$B$10,Paramètres!$A$1:$I$89,3,0)*0.475*44/12</f>
        <v>35.218829351209692</v>
      </c>
      <c r="AV53" s="23">
        <f>EXP(-LN(2)/25)*AV52+(1-EXP(-LN(2)/25))/(LN(2)/25)*Calculateur!AQ53*Calculateur!AS53*VLOOKUP('Données projet'!$B$10,Paramètres!$A$1:$I$89,3,0)*0.475*44/12</f>
        <v>4.3346196921213584</v>
      </c>
      <c r="AW53" s="23">
        <f>EXP(-LN(2)/2)*AW52+(1-EXP(-LN(2)/2))/(LN(2)/2)*AQ53*AT53*VLOOKUP('Données projet'!$B$10,Paramètres!$A$1:$I$89,3,0)*0.475*44/12</f>
        <v>6.3017131611414658</v>
      </c>
      <c r="AX53" s="23">
        <f t="shared" si="6"/>
        <v>45.855162204472514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178</v>
      </c>
      <c r="BB53" s="13">
        <f>VLOOKUP(A53,'Données projet'!$A$87:$I$107,9,0)</f>
        <v>8.1999999999999993</v>
      </c>
      <c r="BC53" s="13">
        <f t="array" ref="BC53">INDEX(BB:BB,MIN(IF(ISNUMBER(BB53:BB249),ROW(BB53:BB249),"")))</f>
        <v>8.1999999999999993</v>
      </c>
      <c r="BD53" s="13">
        <f>IF('Données projet'!$A$88&gt;35,BD52+BC53-BL52,IF(A53&lt;'Données projet'!$A$88,$BA$205^A53,IF(A53='Données projet'!$A$88,'Données projet'!$B$88,BD52+BC53-BL52)))</f>
        <v>178</v>
      </c>
      <c r="BE53" s="14">
        <f>BD53*VLOOKUP('Données projet'!$B$11,Paramètres!$A$1:$I$89,3,0)*VLOOKUP('Données projet'!$B$11,Paramètres!$A$1:$I$89,5,0)</f>
        <v>180.49200000000002</v>
      </c>
      <c r="BF53" s="14">
        <f t="shared" si="37"/>
        <v>45.431629706642653</v>
      </c>
      <c r="BG53" s="22">
        <f t="shared" si="7"/>
        <v>393.4836550724026</v>
      </c>
      <c r="BH53" s="62">
        <f t="shared" si="8"/>
        <v>648.6046366018727</v>
      </c>
      <c r="BI53" s="62">
        <f ca="1">AVERAGE(OFFSET($BH$3,0,0,'Données projet'!$E$11+1,1))-AVERAGE(OFFSET($H$3,0,0,'Données projet'!$E$11+1,1))</f>
        <v>396.06968288200386</v>
      </c>
      <c r="BJ53" s="62">
        <f t="shared" si="38"/>
        <v>273.35778700650792</v>
      </c>
      <c r="BK53" s="16">
        <f>IF(ISNA(VLOOKUP(A53,'Données projet'!$A$87:$I$107,3,0)),0,VLOOKUP(A53,'Données projet'!$A$87:$I$107,3,0))</f>
        <v>6</v>
      </c>
      <c r="BL53" s="16">
        <f>IF(ISNA(VLOOKUP(A53,'Données projet'!$A$87:$I$107,4,0)),0,VLOOKUP(A53,'Données projet'!$A$87:$I$107,4,0))</f>
        <v>21</v>
      </c>
      <c r="BM53" s="17">
        <f>IF(ISNA(VLOOKUP(A53,'Données projet'!$A$87:$I$107,5,0)),0%,VLOOKUP(A53,'Données projet'!$A$87:$I$107,5,0)*VLOOKUP('Données projet'!$B$11,Paramètres!$A$1:$I$89,7,0))</f>
        <v>0.17200000000000001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7.7160091481409001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7.7160091481409001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17.625</v>
      </c>
      <c r="N54" s="14">
        <f>IF('Données projet'!$A$36&gt;35,N53+M54-V53,IF(A54&lt;'Données projet'!$A$36,$K$205^A54,IF(A54='Données projet'!$A$36,'Données projet'!$B$36,N53+M54-V53)))</f>
        <v>316.62499999999994</v>
      </c>
      <c r="O54" s="14">
        <f>N54*VLOOKUP('Données projet'!$B$9,Paramètres!$A$1:$I$89,3,0)*VLOOKUP('Données projet'!$B$9,Paramètres!$A$1:$I$89,5,0)</f>
        <v>189.34174999999999</v>
      </c>
      <c r="P54" s="14">
        <f t="shared" si="33"/>
        <v>47.394393740797923</v>
      </c>
      <c r="Q54" s="22">
        <f t="shared" si="53"/>
        <v>412.31545034855634</v>
      </c>
      <c r="R54" s="62">
        <f t="shared" si="0"/>
        <v>668.09933075180311</v>
      </c>
      <c r="S54" s="62">
        <f ca="1">AVERAGE(OFFSET($R$3,0,0,'Données projet'!$E$9+1,1))-AVERAGE(OFFSET($H$3,0,0,'Données projet'!$E$9+1,1))</f>
        <v>394.69391436029986</v>
      </c>
      <c r="T54" s="62">
        <f t="shared" si="34"/>
        <v>311.37245656657353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44.669496423714001</v>
      </c>
      <c r="AA54" s="23">
        <f>EXP(-LN(2)/25)*AA53+(1-EXP(-LN(2)/25))/(LN(2)/25)*Calculateur!V54*Calculateur!X54*VLOOKUP('Données projet'!$B$9,Paramètres!$A$1:$I$89,3,0)*0.475*44/12</f>
        <v>4.9896464743320204</v>
      </c>
      <c r="AB54" s="23">
        <f>EXP(-LN(2)/2)*AB53+(1-EXP(-LN(2)/2))/(LN(2)/2)*V54*Y54*VLOOKUP('Données projet'!$B$9,Paramètres!$A$1:$I$89,3,0)*0.475*44/12</f>
        <v>4.6181799536866288</v>
      </c>
      <c r="AC54" s="24">
        <f t="shared" si="3"/>
        <v>54.277322851732649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13.5</v>
      </c>
      <c r="AI54" s="14">
        <f>IF('Données projet'!$A$62&gt;35,AI53+AH54-AQ53,IF(A54&lt;'Données projet'!$A$62,$AF$205^A54,IF(A54='Données projet'!$A$62,'Données projet'!$B$62,AI53+AH54-AQ53)))</f>
        <v>244.50000000000006</v>
      </c>
      <c r="AJ54" s="14">
        <f>AI54*VLOOKUP('Données projet'!$B$10,Paramètres!$A$1:$I$89,3,0)*VLOOKUP('Données projet'!$B$10,Paramètres!$A$1:$I$89,5,0)</f>
        <v>114.42600000000002</v>
      </c>
      <c r="AK54" s="14">
        <f t="shared" si="35"/>
        <v>30.371378515374175</v>
      </c>
      <c r="AL54" s="22">
        <f t="shared" si="4"/>
        <v>252.18876758094336</v>
      </c>
      <c r="AM54" s="62">
        <f t="shared" si="5"/>
        <v>507.97264798419019</v>
      </c>
      <c r="AN54" s="62">
        <f ca="1">AVERAGE(OFFSET($AM$3,0,0,'Données projet'!$E$10+1,1))-AVERAGE(OFFSET($H$3,0,0,'Données projet'!$E$10+1,1))</f>
        <v>215.50514301701057</v>
      </c>
      <c r="AO54" s="62">
        <f t="shared" si="36"/>
        <v>273.18950868898253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34.528209588997264</v>
      </c>
      <c r="AV54" s="23">
        <f>EXP(-LN(2)/25)*AV53+(1-EXP(-LN(2)/25))/(LN(2)/25)*Calculateur!AQ54*Calculateur!AS54*VLOOKUP('Données projet'!$B$10,Paramètres!$A$1:$I$89,3,0)*0.475*44/12</f>
        <v>4.2160892886925572</v>
      </c>
      <c r="AW54" s="23">
        <f>EXP(-LN(2)/2)*AW53+(1-EXP(-LN(2)/2))/(LN(2)/2)*AQ54*AT54*VLOOKUP('Données projet'!$B$10,Paramètres!$A$1:$I$89,3,0)*0.475*44/12</f>
        <v>4.4559841093356454</v>
      </c>
      <c r="AX54" s="23">
        <f t="shared" si="6"/>
        <v>43.200282987025467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8</v>
      </c>
      <c r="BD54" s="13">
        <f>IF('Données projet'!$A$88&gt;35,BD53+BC54-BL53,IF(A54&lt;'Données projet'!$A$88,$BA$205^A54,IF(A54='Données projet'!$A$88,'Données projet'!$B$88,BD53+BC54-BL53)))</f>
        <v>165</v>
      </c>
      <c r="BE54" s="14">
        <f>BD54*VLOOKUP('Données projet'!$B$11,Paramètres!$A$1:$I$89,3,0)*VLOOKUP('Données projet'!$B$11,Paramètres!$A$1:$I$89,5,0)</f>
        <v>167.31</v>
      </c>
      <c r="BF54" s="14">
        <f t="shared" si="37"/>
        <v>42.486994942347515</v>
      </c>
      <c r="BG54" s="22">
        <f t="shared" si="7"/>
        <v>365.39643285792187</v>
      </c>
      <c r="BH54" s="62">
        <f t="shared" si="8"/>
        <v>621.18031326116875</v>
      </c>
      <c r="BI54" s="62">
        <f ca="1">AVERAGE(OFFSET($BH$3,0,0,'Données projet'!$E$11+1,1))-AVERAGE(OFFSET($H$3,0,0,'Données projet'!$E$11+1,1))</f>
        <v>396.06968288200386</v>
      </c>
      <c r="BJ54" s="62">
        <f t="shared" si="38"/>
        <v>273.35778700650792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7.5647029150467286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7.5647029150467286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17.625</v>
      </c>
      <c r="N55" s="14">
        <f>IF('Données projet'!$A$36&gt;35,N54+M55-V54,IF(A55&lt;'Données projet'!$A$36,$K$205^A55,IF(A55='Données projet'!$A$36,'Données projet'!$B$36,N54+M55-V54)))</f>
        <v>334.24999999999994</v>
      </c>
      <c r="O55" s="14">
        <f>N55*VLOOKUP('Données projet'!$B$9,Paramètres!$A$1:$I$89,3,0)*VLOOKUP('Données projet'!$B$9,Paramètres!$A$1:$I$89,5,0)</f>
        <v>199.88149999999996</v>
      </c>
      <c r="P55" s="14">
        <f t="shared" si="33"/>
        <v>49.71812411377941</v>
      </c>
      <c r="Q55" s="22">
        <f t="shared" si="53"/>
        <v>434.71934533149914</v>
      </c>
      <c r="R55" s="62">
        <f t="shared" si="0"/>
        <v>691.15462479508255</v>
      </c>
      <c r="S55" s="62">
        <f ca="1">AVERAGE(OFFSET($R$3,0,0,'Données projet'!$E$9+1,1))-AVERAGE(OFFSET($H$3,0,0,'Données projet'!$E$9+1,1))</f>
        <v>394.69391436029986</v>
      </c>
      <c r="T55" s="62">
        <f t="shared" si="34"/>
        <v>311.37245656657353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43.793554844547501</v>
      </c>
      <c r="AA55" s="23">
        <f>EXP(-LN(2)/25)*AA54+(1-EXP(-LN(2)/25))/(LN(2)/25)*Calculateur!V55*Calculateur!X55*VLOOKUP('Données projet'!$B$9,Paramètres!$A$1:$I$89,3,0)*0.475*44/12</f>
        <v>4.8532043290973075</v>
      </c>
      <c r="AB55" s="23">
        <f>EXP(-LN(2)/2)*AB54+(1-EXP(-LN(2)/2))/(LN(2)/2)*V55*Y55*VLOOKUP('Données projet'!$B$9,Paramètres!$A$1:$I$89,3,0)*0.475*44/12</f>
        <v>3.2655463619915914</v>
      </c>
      <c r="AC55" s="24">
        <f t="shared" si="3"/>
        <v>51.912305535636399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13.5</v>
      </c>
      <c r="AI55" s="14">
        <f>IF('Données projet'!$A$62&gt;35,AI54+AH55-AQ54,IF(A55&lt;'Données projet'!$A$62,$AF$205^A55,IF(A55='Données projet'!$A$62,'Données projet'!$B$62,AI54+AH55-AQ54)))</f>
        <v>258.00000000000006</v>
      </c>
      <c r="AJ55" s="14">
        <f>AI55*VLOOKUP('Données projet'!$B$10,Paramètres!$A$1:$I$89,3,0)*VLOOKUP('Données projet'!$B$10,Paramètres!$A$1:$I$89,5,0)</f>
        <v>120.74400000000003</v>
      </c>
      <c r="AK55" s="14">
        <f t="shared" si="35"/>
        <v>31.848462605207835</v>
      </c>
      <c r="AL55" s="22">
        <f t="shared" si="4"/>
        <v>265.76520570407035</v>
      </c>
      <c r="AM55" s="62">
        <f t="shared" si="5"/>
        <v>522.20048516765371</v>
      </c>
      <c r="AN55" s="62">
        <f ca="1">AVERAGE(OFFSET($AM$3,0,0,'Données projet'!$E$10+1,1))-AVERAGE(OFFSET($H$3,0,0,'Données projet'!$E$10+1,1))</f>
        <v>215.50514301701057</v>
      </c>
      <c r="AO55" s="62">
        <f t="shared" si="36"/>
        <v>273.18950868898253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33.851132459085363</v>
      </c>
      <c r="AV55" s="23">
        <f>EXP(-LN(2)/25)*AV54+(1-EXP(-LN(2)/25))/(LN(2)/25)*Calculateur!AQ55*Calculateur!AS55*VLOOKUP('Données projet'!$B$10,Paramètres!$A$1:$I$89,3,0)*0.475*44/12</f>
        <v>4.1008001053787595</v>
      </c>
      <c r="AW55" s="23">
        <f>EXP(-LN(2)/2)*AW54+(1-EXP(-LN(2)/2))/(LN(2)/2)*AQ55*AT55*VLOOKUP('Données projet'!$B$10,Paramètres!$A$1:$I$89,3,0)*0.475*44/12</f>
        <v>3.1508565805707334</v>
      </c>
      <c r="AX55" s="23">
        <f t="shared" si="6"/>
        <v>41.102789145034855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8</v>
      </c>
      <c r="BD55" s="13">
        <f>IF('Données projet'!$A$88&gt;35,BD54+BC55-BL54,IF(A55&lt;'Données projet'!$A$88,$BA$205^A55,IF(A55='Données projet'!$A$88,'Données projet'!$B$88,BD54+BC55-BL54)))</f>
        <v>173</v>
      </c>
      <c r="BE55" s="14">
        <f>BD55*VLOOKUP('Données projet'!$B$11,Paramètres!$A$1:$I$89,3,0)*VLOOKUP('Données projet'!$B$11,Paramètres!$A$1:$I$89,5,0)</f>
        <v>175.422</v>
      </c>
      <c r="BF55" s="14">
        <f t="shared" si="37"/>
        <v>44.302143412304737</v>
      </c>
      <c r="BG55" s="22">
        <f t="shared" si="7"/>
        <v>382.68621644309741</v>
      </c>
      <c r="BH55" s="62">
        <f t="shared" si="8"/>
        <v>639.12149590668082</v>
      </c>
      <c r="BI55" s="62">
        <f ca="1">AVERAGE(OFFSET($BH$3,0,0,'Données projet'!$E$11+1,1))-AVERAGE(OFFSET($H$3,0,0,'Données projet'!$E$11+1,1))</f>
        <v>396.06968288200386</v>
      </c>
      <c r="BJ55" s="62">
        <f t="shared" si="38"/>
        <v>273.35778700650792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7.4163637048958444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7.4163637048958444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17.625</v>
      </c>
      <c r="N56" s="14">
        <f>IF('Données projet'!$A$36&gt;35,N55+M56-V55,IF(A56&lt;'Données projet'!$A$36,$K$205^A56,IF(A56='Données projet'!$A$36,'Données projet'!$B$36,N55+M56-V55)))</f>
        <v>351.87499999999994</v>
      </c>
      <c r="O56" s="14">
        <f>N56*VLOOKUP('Données projet'!$B$9,Paramètres!$A$1:$I$89,3,0)*VLOOKUP('Données projet'!$B$9,Paramètres!$A$1:$I$89,5,0)</f>
        <v>210.42124999999999</v>
      </c>
      <c r="P56" s="14">
        <f t="shared" si="33"/>
        <v>52.027628682866947</v>
      </c>
      <c r="Q56" s="22">
        <f t="shared" si="53"/>
        <v>457.09846370599325</v>
      </c>
      <c r="R56" s="62">
        <f t="shared" si="0"/>
        <v>714.17384191252654</v>
      </c>
      <c r="S56" s="62">
        <f ca="1">AVERAGE(OFFSET($R$3,0,0,'Données projet'!$E$9+1,1))-AVERAGE(OFFSET($H$3,0,0,'Données projet'!$E$9+1,1))</f>
        <v>394.69391436029986</v>
      </c>
      <c r="T56" s="62">
        <f t="shared" si="34"/>
        <v>311.37245656657353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42.934789945476844</v>
      </c>
      <c r="AA56" s="23">
        <f>EXP(-LN(2)/25)*AA55+(1-EXP(-LN(2)/25))/(LN(2)/25)*Calculateur!V56*Calculateur!X56*VLOOKUP('Données projet'!$B$9,Paramètres!$A$1:$I$89,3,0)*0.475*44/12</f>
        <v>4.7204932014992185</v>
      </c>
      <c r="AB56" s="23">
        <f>EXP(-LN(2)/2)*AB55+(1-EXP(-LN(2)/2))/(LN(2)/2)*V56*Y56*VLOOKUP('Données projet'!$B$9,Paramètres!$A$1:$I$89,3,0)*0.475*44/12</f>
        <v>2.3090899768433149</v>
      </c>
      <c r="AC56" s="24">
        <f t="shared" si="3"/>
        <v>49.964373123819378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13.5</v>
      </c>
      <c r="AI56" s="14">
        <f>IF('Données projet'!$A$62&gt;35,AI55+AH56-AQ55,IF(A56&lt;'Données projet'!$A$62,$AF$205^A56,IF(A56='Données projet'!$A$62,'Données projet'!$B$62,AI55+AH56-AQ55)))</f>
        <v>271.50000000000006</v>
      </c>
      <c r="AJ56" s="14">
        <f>AI56*VLOOKUP('Données projet'!$B$10,Paramètres!$A$1:$I$89,3,0)*VLOOKUP('Données projet'!$B$10,Paramètres!$A$1:$I$89,5,0)</f>
        <v>127.06200000000004</v>
      </c>
      <c r="AK56" s="14">
        <f t="shared" si="35"/>
        <v>33.316573241426198</v>
      </c>
      <c r="AL56" s="22">
        <f t="shared" si="4"/>
        <v>279.3260150621507</v>
      </c>
      <c r="AM56" s="62">
        <f t="shared" si="5"/>
        <v>536.40139326868393</v>
      </c>
      <c r="AN56" s="62">
        <f ca="1">AVERAGE(OFFSET($AM$3,0,0,'Données projet'!$E$10+1,1))-AVERAGE(OFFSET($H$3,0,0,'Données projet'!$E$10+1,1))</f>
        <v>215.50514301701057</v>
      </c>
      <c r="AO56" s="62">
        <f t="shared" si="36"/>
        <v>273.18950868898253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33.187332398714766</v>
      </c>
      <c r="AV56" s="23">
        <f>EXP(-LN(2)/25)*AV55+(1-EXP(-LN(2)/25))/(LN(2)/25)*Calculateur!AQ56*Calculateur!AS56*VLOOKUP('Données projet'!$B$10,Paramètres!$A$1:$I$89,3,0)*0.475*44/12</f>
        <v>3.9886635108454724</v>
      </c>
      <c r="AW56" s="23">
        <f>EXP(-LN(2)/2)*AW55+(1-EXP(-LN(2)/2))/(LN(2)/2)*AQ56*AT56*VLOOKUP('Données projet'!$B$10,Paramètres!$A$1:$I$89,3,0)*0.475*44/12</f>
        <v>2.2279920546678231</v>
      </c>
      <c r="AX56" s="23">
        <f t="shared" si="6"/>
        <v>39.403987964228058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8</v>
      </c>
      <c r="BD56" s="13">
        <f>IF('Données projet'!$A$88&gt;35,BD55+BC56-BL55,IF(A56&lt;'Données projet'!$A$88,$BA$205^A56,IF(A56='Données projet'!$A$88,'Données projet'!$B$88,BD55+BC56-BL55)))</f>
        <v>181</v>
      </c>
      <c r="BE56" s="14">
        <f>BD56*VLOOKUP('Données projet'!$B$11,Paramètres!$A$1:$I$89,3,0)*VLOOKUP('Données projet'!$B$11,Paramètres!$A$1:$I$89,5,0)</f>
        <v>183.53400000000002</v>
      </c>
      <c r="BF56" s="14">
        <f t="shared" si="37"/>
        <v>46.107544136839593</v>
      </c>
      <c r="BG56" s="22">
        <f t="shared" si="7"/>
        <v>399.95902270499568</v>
      </c>
      <c r="BH56" s="62">
        <f t="shared" si="8"/>
        <v>657.03440091152891</v>
      </c>
      <c r="BI56" s="62">
        <f ca="1">AVERAGE(OFFSET($BH$3,0,0,'Données projet'!$E$11+1,1))-AVERAGE(OFFSET($H$3,0,0,'Données projet'!$E$11+1,1))</f>
        <v>396.06968288200386</v>
      </c>
      <c r="BJ56" s="62">
        <f t="shared" si="38"/>
        <v>273.35778700650792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7.2709333361780351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7.2709333361780351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17.625</v>
      </c>
      <c r="N57" s="14">
        <f>IF('Données projet'!$A$36&gt;35,N56+M57-V56,IF(A57&lt;'Données projet'!$A$36,$K$205^A57,IF(A57='Données projet'!$A$36,'Données projet'!$B$36,N56+M57-V56)))</f>
        <v>369.49999999999994</v>
      </c>
      <c r="O57" s="14">
        <f>N57*VLOOKUP('Données projet'!$B$9,Paramètres!$A$1:$I$89,3,0)*VLOOKUP('Données projet'!$B$9,Paramètres!$A$1:$I$89,5,0)</f>
        <v>220.96099999999996</v>
      </c>
      <c r="P57" s="14">
        <f t="shared" si="33"/>
        <v>54.323701308314696</v>
      </c>
      <c r="Q57" s="22">
        <f t="shared" si="53"/>
        <v>479.45418811198141</v>
      </c>
      <c r="R57" s="62">
        <f t="shared" si="0"/>
        <v>737.15856077932074</v>
      </c>
      <c r="S57" s="62">
        <f ca="1">AVERAGE(OFFSET($R$3,0,0,'Données projet'!$E$9+1,1))-AVERAGE(OFFSET($H$3,0,0,'Données projet'!$E$9+1,1))</f>
        <v>394.69391436029986</v>
      </c>
      <c r="T57" s="62">
        <f t="shared" si="34"/>
        <v>311.37245656657353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42.092864902282095</v>
      </c>
      <c r="AA57" s="23">
        <f>EXP(-LN(2)/25)*AA56+(1-EXP(-LN(2)/25))/(LN(2)/25)*Calculateur!V57*Calculateur!X57*VLOOKUP('Données projet'!$B$9,Paramètres!$A$1:$I$89,3,0)*0.475*44/12</f>
        <v>4.591411066664274</v>
      </c>
      <c r="AB57" s="23">
        <f>EXP(-LN(2)/2)*AB56+(1-EXP(-LN(2)/2))/(LN(2)/2)*V57*Y57*VLOOKUP('Données projet'!$B$9,Paramètres!$A$1:$I$89,3,0)*0.475*44/12</f>
        <v>1.6327731809957959</v>
      </c>
      <c r="AC57" s="24">
        <f t="shared" si="3"/>
        <v>48.317049149942164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13.5</v>
      </c>
      <c r="AI57" s="14">
        <f>IF('Données projet'!$A$62&gt;35,AI56+AH57-AQ56,IF(A57&lt;'Données projet'!$A$62,$AF$205^A57,IF(A57='Données projet'!$A$62,'Données projet'!$B$62,AI56+AH57-AQ56)))</f>
        <v>285.00000000000006</v>
      </c>
      <c r="AJ57" s="14">
        <f>AI57*VLOOKUP('Données projet'!$B$10,Paramètres!$A$1:$I$89,3,0)*VLOOKUP('Données projet'!$B$10,Paramètres!$A$1:$I$89,5,0)</f>
        <v>133.38000000000002</v>
      </c>
      <c r="AK57" s="14">
        <f t="shared" si="35"/>
        <v>34.776207535548991</v>
      </c>
      <c r="AL57" s="22">
        <f t="shared" si="4"/>
        <v>292.87206145774786</v>
      </c>
      <c r="AM57" s="62">
        <f t="shared" si="5"/>
        <v>550.57643412508719</v>
      </c>
      <c r="AN57" s="62">
        <f ca="1">AVERAGE(OFFSET($AM$3,0,0,'Données projet'!$E$10+1,1))-AVERAGE(OFFSET($H$3,0,0,'Données projet'!$E$10+1,1))</f>
        <v>215.50514301701057</v>
      </c>
      <c r="AO57" s="62">
        <f t="shared" si="36"/>
        <v>273.18950868898253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32.536549052649974</v>
      </c>
      <c r="AV57" s="23">
        <f>EXP(-LN(2)/25)*AV56+(1-EXP(-LN(2)/25))/(LN(2)/25)*Calculateur!AQ57*Calculateur!AS57*VLOOKUP('Données projet'!$B$10,Paramètres!$A$1:$I$89,3,0)*0.475*44/12</f>
        <v>3.8795932973867053</v>
      </c>
      <c r="AW57" s="23">
        <f>EXP(-LN(2)/2)*AW56+(1-EXP(-LN(2)/2))/(LN(2)/2)*AQ57*AT57*VLOOKUP('Données projet'!$B$10,Paramètres!$A$1:$I$89,3,0)*0.475*44/12</f>
        <v>1.5754282902853669</v>
      </c>
      <c r="AX57" s="23">
        <f t="shared" si="6"/>
        <v>37.991570640322045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8</v>
      </c>
      <c r="BD57" s="13">
        <f>IF('Données projet'!$A$88&gt;35,BD56+BC57-BL56,IF(A57&lt;'Données projet'!$A$88,$BA$205^A57,IF(A57='Données projet'!$A$88,'Données projet'!$B$88,BD56+BC57-BL56)))</f>
        <v>189</v>
      </c>
      <c r="BE57" s="14">
        <f>BD57*VLOOKUP('Données projet'!$B$11,Paramètres!$A$1:$I$89,3,0)*VLOOKUP('Données projet'!$B$11,Paramètres!$A$1:$I$89,5,0)</f>
        <v>191.64600000000002</v>
      </c>
      <c r="BF57" s="14">
        <f t="shared" si="37"/>
        <v>47.903677189291635</v>
      </c>
      <c r="BG57" s="22">
        <f t="shared" si="7"/>
        <v>417.21568777134962</v>
      </c>
      <c r="BH57" s="62">
        <f t="shared" si="8"/>
        <v>674.92006043868901</v>
      </c>
      <c r="BI57" s="62">
        <f ca="1">AVERAGE(OFFSET($BH$3,0,0,'Données projet'!$E$11+1,1))-AVERAGE(OFFSET($H$3,0,0,'Données projet'!$E$11+1,1))</f>
        <v>396.06968288200386</v>
      </c>
      <c r="BJ57" s="62">
        <f t="shared" si="38"/>
        <v>273.35778700650792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7.1283547682870152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7.1283547682870152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17.625</v>
      </c>
      <c r="N58" s="14">
        <f>IF('Données projet'!$A$36&gt;35,N57+M58-V57,IF(A58&lt;'Données projet'!$A$36,$K$205^A58,IF(A58='Données projet'!$A$36,'Données projet'!$B$36,N57+M58-V57)))</f>
        <v>387.12499999999994</v>
      </c>
      <c r="O58" s="14">
        <f>N58*VLOOKUP('Données projet'!$B$9,Paramètres!$A$1:$I$89,3,0)*VLOOKUP('Données projet'!$B$9,Paramètres!$A$1:$I$89,5,0)</f>
        <v>231.50074999999998</v>
      </c>
      <c r="P58" s="14">
        <f t="shared" si="33"/>
        <v>56.607055837426749</v>
      </c>
      <c r="Q58" s="22">
        <f t="shared" si="53"/>
        <v>501.78776183351812</v>
      </c>
      <c r="R58" s="62">
        <f t="shared" si="0"/>
        <v>760.11021731398955</v>
      </c>
      <c r="S58" s="62">
        <f ca="1">AVERAGE(OFFSET($R$3,0,0,'Données projet'!$E$9+1,1))-AVERAGE(OFFSET($H$3,0,0,'Données projet'!$E$9+1,1))</f>
        <v>394.69391436029986</v>
      </c>
      <c r="T58" s="62">
        <f t="shared" si="34"/>
        <v>311.37245656657353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41.267449495660827</v>
      </c>
      <c r="AA58" s="23">
        <f>EXP(-LN(2)/25)*AA57+(1-EXP(-LN(2)/25))/(LN(2)/25)*Calculateur!V58*Calculateur!X58*VLOOKUP('Données projet'!$B$9,Paramètres!$A$1:$I$89,3,0)*0.475*44/12</f>
        <v>4.4658586895945254</v>
      </c>
      <c r="AB58" s="23">
        <f>EXP(-LN(2)/2)*AB57+(1-EXP(-LN(2)/2))/(LN(2)/2)*V58*Y58*VLOOKUP('Données projet'!$B$9,Paramètres!$A$1:$I$89,3,0)*0.475*44/12</f>
        <v>1.1545449884216574</v>
      </c>
      <c r="AC58" s="24">
        <f t="shared" si="3"/>
        <v>46.887853173677009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13.5</v>
      </c>
      <c r="AI58" s="14">
        <f>IF('Données projet'!$A$62&gt;35,AI57+AH58-AQ57,IF(A58&lt;'Données projet'!$A$62,$AF$205^A58,IF(A58='Données projet'!$A$62,'Données projet'!$B$62,AI57+AH58-AQ57)))</f>
        <v>298.50000000000006</v>
      </c>
      <c r="AJ58" s="14">
        <f>AI58*VLOOKUP('Données projet'!$B$10,Paramètres!$A$1:$I$89,3,0)*VLOOKUP('Données projet'!$B$10,Paramètres!$A$1:$I$89,5,0)</f>
        <v>139.69800000000004</v>
      </c>
      <c r="AK58" s="14">
        <f t="shared" si="35"/>
        <v>36.227812843101411</v>
      </c>
      <c r="AL58" s="22">
        <f t="shared" si="4"/>
        <v>306.40412403506838</v>
      </c>
      <c r="AM58" s="62">
        <f t="shared" si="5"/>
        <v>564.7265795155397</v>
      </c>
      <c r="AN58" s="62">
        <f ca="1">AVERAGE(OFFSET($AM$3,0,0,'Données projet'!$E$10+1,1))-AVERAGE(OFFSET($H$3,0,0,'Données projet'!$E$10+1,1))</f>
        <v>215.50514301701057</v>
      </c>
      <c r="AO58" s="62">
        <f t="shared" si="36"/>
        <v>273.18950868898253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31.898527171062867</v>
      </c>
      <c r="AV58" s="23">
        <f>EXP(-LN(2)/25)*AV57+(1-EXP(-LN(2)/25))/(LN(2)/25)*Calculateur!AQ58*Calculateur!AS58*VLOOKUP('Données projet'!$B$10,Paramètres!$A$1:$I$89,3,0)*0.475*44/12</f>
        <v>3.7735056146507211</v>
      </c>
      <c r="AW58" s="23">
        <f>EXP(-LN(2)/2)*AW57+(1-EXP(-LN(2)/2))/(LN(2)/2)*AQ58*AT58*VLOOKUP('Données projet'!$B$10,Paramètres!$A$1:$I$89,3,0)*0.475*44/12</f>
        <v>1.1139960273339118</v>
      </c>
      <c r="AX58" s="23">
        <f t="shared" si="6"/>
        <v>36.786028813047501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197</v>
      </c>
      <c r="BB58" s="13">
        <f>VLOOKUP(A58,'Données projet'!$A$87:$I$107,9,0)</f>
        <v>8</v>
      </c>
      <c r="BC58" s="13">
        <f t="array" ref="BC58">INDEX(BB:BB,MIN(IF(ISNUMBER(BB58:BB254),ROW(BB58:BB254),"")))</f>
        <v>8</v>
      </c>
      <c r="BD58" s="13">
        <f>IF('Données projet'!$A$88&gt;35,BD57+BC58-BL57,IF(A58&lt;'Données projet'!$A$88,$BA$205^A58,IF(A58='Données projet'!$A$88,'Données projet'!$B$88,BD57+BC58-BL57)))</f>
        <v>197</v>
      </c>
      <c r="BE58" s="14">
        <f>BD58*VLOOKUP('Données projet'!$B$11,Paramètres!$A$1:$I$89,3,0)*VLOOKUP('Données projet'!$B$11,Paramètres!$A$1:$I$89,5,0)</f>
        <v>199.75800000000004</v>
      </c>
      <c r="BF58" s="14">
        <f t="shared" si="37"/>
        <v>49.690979702964015</v>
      </c>
      <c r="BG58" s="22">
        <f t="shared" si="7"/>
        <v>434.45697298266236</v>
      </c>
      <c r="BH58" s="62">
        <f t="shared" si="8"/>
        <v>692.77942846313374</v>
      </c>
      <c r="BI58" s="62">
        <f ca="1">AVERAGE(OFFSET($BH$3,0,0,'Données projet'!$E$11+1,1))-AVERAGE(OFFSET($H$3,0,0,'Données projet'!$E$11+1,1))</f>
        <v>396.06968288200386</v>
      </c>
      <c r="BJ58" s="62">
        <f t="shared" si="38"/>
        <v>273.35778700650792</v>
      </c>
      <c r="BK58" s="16">
        <f>IF(ISNA(VLOOKUP(A58,'Données projet'!$A$87:$I$107,3,0)),0,VLOOKUP(A58,'Données projet'!$A$87:$I$107,3,0))</f>
        <v>7</v>
      </c>
      <c r="BL58" s="16">
        <f>IF(ISNA(VLOOKUP(A58,'Données projet'!$A$87:$I$107,4,0)),0,VLOOKUP(A58,'Données projet'!$A$87:$I$107,4,0))</f>
        <v>21</v>
      </c>
      <c r="BM58" s="17">
        <f>IF(ISNA(VLOOKUP(A58,'Données projet'!$A$87:$I$107,5,0)),0%,VLOOKUP(A58,'Données projet'!$A$87:$I$107,5,0)*VLOOKUP('Données projet'!$B$11,Paramètres!$A$1:$I$89,7,0))</f>
        <v>0.25800000000000001</v>
      </c>
      <c r="BN58" s="17">
        <f>IF(ISNA(VLOOKUP(A58,'Données projet'!$A$87:$I$107,6,0)),0%,VLOOKUP(A58,'Données projet'!$A$87:$I$107,6,0)*VLOOKUP('Données projet'!$B$11,Paramètres!$A$1:$I$89,7,0))</f>
        <v>0.17200000000000001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13.061862734685857</v>
      </c>
      <c r="BQ58" s="23">
        <f>EXP(-LN(2)/25)*BQ57+(1-EXP(-LN(2)/25))/(LN(2)/25)*Calculateur!BL58*Calculateur!BN58*VLOOKUP('Données projet'!$B$11,Paramètres!$A$1:$I$89,3,0)*0.475*44/12</f>
        <v>4.032918530747895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17.094781265433753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17.625</v>
      </c>
      <c r="N59" s="14">
        <f>IF('Données projet'!$A$36&gt;35,N58+M59-V58,IF(A59&lt;'Données projet'!$A$36,$K$205^A59,IF(A59='Données projet'!$A$36,'Données projet'!$B$36,N58+M59-V58)))</f>
        <v>404.74999999999994</v>
      </c>
      <c r="O59" s="14">
        <f>N59*VLOOKUP('Données projet'!$B$9,Paramètres!$A$1:$I$89,3,0)*VLOOKUP('Données projet'!$B$9,Paramètres!$A$1:$I$89,5,0)</f>
        <v>242.04049999999998</v>
      </c>
      <c r="P59" s="14">
        <f t="shared" si="33"/>
        <v>58.878337443371535</v>
      </c>
      <c r="Q59" s="22">
        <f t="shared" si="53"/>
        <v>524.10030854720526</v>
      </c>
      <c r="R59" s="62">
        <f t="shared" si="0"/>
        <v>783.03012448582695</v>
      </c>
      <c r="S59" s="62">
        <f ca="1">AVERAGE(OFFSET($R$3,0,0,'Données projet'!$E$9+1,1))-AVERAGE(OFFSET($H$3,0,0,'Données projet'!$E$9+1,1))</f>
        <v>394.69391436029986</v>
      </c>
      <c r="T59" s="62">
        <f t="shared" si="34"/>
        <v>311.37245656657353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40.458219981709718</v>
      </c>
      <c r="AA59" s="23">
        <f>EXP(-LN(2)/25)*AA58+(1-EXP(-LN(2)/25))/(LN(2)/25)*Calculateur!V59*Calculateur!X59*VLOOKUP('Données projet'!$B$9,Paramètres!$A$1:$I$89,3,0)*0.475*44/12</f>
        <v>4.3437395488782613</v>
      </c>
      <c r="AB59" s="23">
        <f>EXP(-LN(2)/2)*AB58+(1-EXP(-LN(2)/2))/(LN(2)/2)*V59*Y59*VLOOKUP('Données projet'!$B$9,Paramètres!$A$1:$I$89,3,0)*0.475*44/12</f>
        <v>0.81638659049789797</v>
      </c>
      <c r="AC59" s="24">
        <f t="shared" si="3"/>
        <v>45.618346121085878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13.5</v>
      </c>
      <c r="AI59" s="14">
        <f>IF('Données projet'!$A$62&gt;35,AI58+AH59-AQ58,IF(A59&lt;'Données projet'!$A$62,$AF$205^A59,IF(A59='Données projet'!$A$62,'Données projet'!$B$62,AI58+AH59-AQ58)))</f>
        <v>312.00000000000006</v>
      </c>
      <c r="AJ59" s="14">
        <f>AI59*VLOOKUP('Données projet'!$B$10,Paramètres!$A$1:$I$89,3,0)*VLOOKUP('Données projet'!$B$10,Paramètres!$A$1:$I$89,5,0)</f>
        <v>146.01600000000002</v>
      </c>
      <c r="AK59" s="14">
        <f t="shared" si="35"/>
        <v>37.671793767891103</v>
      </c>
      <c r="AL59" s="22">
        <f t="shared" si="4"/>
        <v>319.92290747907703</v>
      </c>
      <c r="AM59" s="62">
        <f t="shared" si="5"/>
        <v>578.85272341769883</v>
      </c>
      <c r="AN59" s="62">
        <f ca="1">AVERAGE(OFFSET($AM$3,0,0,'Données projet'!$E$10+1,1))-AVERAGE(OFFSET($H$3,0,0,'Données projet'!$E$10+1,1))</f>
        <v>215.50514301701057</v>
      </c>
      <c r="AO59" s="62">
        <f t="shared" si="36"/>
        <v>273.18950868898253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31.27301650941876</v>
      </c>
      <c r="AV59" s="23">
        <f>EXP(-LN(2)/25)*AV58+(1-EXP(-LN(2)/25))/(LN(2)/25)*Calculateur!AQ59*Calculateur!AS59*VLOOKUP('Données projet'!$B$10,Paramètres!$A$1:$I$89,3,0)*0.475*44/12</f>
        <v>3.6703189051780614</v>
      </c>
      <c r="AW59" s="23">
        <f>EXP(-LN(2)/2)*AW58+(1-EXP(-LN(2)/2))/(LN(2)/2)*AQ59*AT59*VLOOKUP('Données projet'!$B$10,Paramètres!$A$1:$I$89,3,0)*0.475*44/12</f>
        <v>0.78771414514268367</v>
      </c>
      <c r="AX59" s="23">
        <f t="shared" si="6"/>
        <v>35.73104955973951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7.6</v>
      </c>
      <c r="BD59" s="13">
        <f>IF('Données projet'!$A$88&gt;35,BD58+BC59-BL58,IF(A59&lt;'Données projet'!$A$88,$BA$205^A59,IF(A59='Données projet'!$A$88,'Données projet'!$B$88,BD58+BC59-BL58)))</f>
        <v>183.6</v>
      </c>
      <c r="BE59" s="14">
        <f>BD59*VLOOKUP('Données projet'!$B$11,Paramètres!$A$1:$I$89,3,0)*VLOOKUP('Données projet'!$B$11,Paramètres!$A$1:$I$89,5,0)</f>
        <v>186.1704</v>
      </c>
      <c r="BF59" s="14">
        <f t="shared" si="37"/>
        <v>46.692281933796018</v>
      </c>
      <c r="BG59" s="22">
        <f t="shared" si="7"/>
        <v>405.56917103469476</v>
      </c>
      <c r="BH59" s="62">
        <f t="shared" si="8"/>
        <v>664.49898697331651</v>
      </c>
      <c r="BI59" s="62">
        <f ca="1">AVERAGE(OFFSET($BH$3,0,0,'Données projet'!$E$11+1,1))-AVERAGE(OFFSET($H$3,0,0,'Données projet'!$E$11+1,1))</f>
        <v>396.06968288200386</v>
      </c>
      <c r="BJ59" s="62">
        <f t="shared" si="38"/>
        <v>273.35778700650792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12.805727573408264</v>
      </c>
      <c r="BQ59" s="23">
        <f>EXP(-LN(2)/25)*BQ58+(1-EXP(-LN(2)/25))/(LN(2)/25)*Calculateur!BL59*Calculateur!BN59*VLOOKUP('Données projet'!$B$11,Paramètres!$A$1:$I$89,3,0)*0.475*44/12</f>
        <v>3.9226381614426256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16.72836573485089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17.625</v>
      </c>
      <c r="N60" s="14">
        <f>IF('Données projet'!$A$36&gt;35,N59+M60-V59,IF(A60&lt;'Données projet'!$A$36,$K$205^A60,IF(A60='Données projet'!$A$36,'Données projet'!$B$36,N59+M60-V59)))</f>
        <v>422.37499999999994</v>
      </c>
      <c r="O60" s="14">
        <f>N60*VLOOKUP('Données projet'!$B$9,Paramètres!$A$1:$I$89,3,0)*VLOOKUP('Données projet'!$B$9,Paramètres!$A$1:$I$89,5,0)</f>
        <v>252.58025000000001</v>
      </c>
      <c r="P60" s="14">
        <f t="shared" si="33"/>
        <v>61.138131933251593</v>
      </c>
      <c r="Q60" s="22">
        <f t="shared" si="53"/>
        <v>546.39284853374647</v>
      </c>
      <c r="R60" s="62">
        <f t="shared" si="0"/>
        <v>805.91948858442424</v>
      </c>
      <c r="S60" s="62">
        <f ca="1">AVERAGE(OFFSET($R$3,0,0,'Données projet'!$E$9+1,1))-AVERAGE(OFFSET($H$3,0,0,'Données projet'!$E$9+1,1))</f>
        <v>394.69391436029986</v>
      </c>
      <c r="T60" s="62">
        <f t="shared" si="34"/>
        <v>311.37245656657353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39.664858964945921</v>
      </c>
      <c r="AA60" s="23">
        <f>EXP(-LN(2)/25)*AA59+(1-EXP(-LN(2)/25))/(LN(2)/25)*Calculateur!V60*Calculateur!X60*VLOOKUP('Données projet'!$B$9,Paramètres!$A$1:$I$89,3,0)*0.475*44/12</f>
        <v>4.2249597624868498</v>
      </c>
      <c r="AB60" s="23">
        <f>EXP(-LN(2)/2)*AB59+(1-EXP(-LN(2)/2))/(LN(2)/2)*V60*Y60*VLOOKUP('Données projet'!$B$9,Paramètres!$A$1:$I$89,3,0)*0.475*44/12</f>
        <v>0.57727249421082871</v>
      </c>
      <c r="AC60" s="24">
        <f t="shared" si="3"/>
        <v>44.467091221643599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13.5</v>
      </c>
      <c r="AI60" s="14">
        <f>IF('Données projet'!$A$62&gt;35,AI59+AH60-AQ59,IF(A60&lt;'Données projet'!$A$62,$AF$205^A60,IF(A60='Données projet'!$A$62,'Données projet'!$B$62,AI59+AH60-AQ59)))</f>
        <v>325.50000000000006</v>
      </c>
      <c r="AJ60" s="14">
        <f>AI60*VLOOKUP('Données projet'!$B$10,Paramètres!$A$1:$I$89,3,0)*VLOOKUP('Données projet'!$B$10,Paramètres!$A$1:$I$89,5,0)</f>
        <v>152.33400000000003</v>
      </c>
      <c r="AK60" s="14">
        <f t="shared" si="35"/>
        <v>39.108517919805784</v>
      </c>
      <c r="AL60" s="22">
        <f t="shared" si="4"/>
        <v>333.42905204366178</v>
      </c>
      <c r="AM60" s="62">
        <f t="shared" si="5"/>
        <v>592.9556920943395</v>
      </c>
      <c r="AN60" s="62">
        <f ca="1">AVERAGE(OFFSET($AM$3,0,0,'Données projet'!$E$10+1,1))-AVERAGE(OFFSET($H$3,0,0,'Données projet'!$E$10+1,1))</f>
        <v>215.50514301701057</v>
      </c>
      <c r="AO60" s="62">
        <f t="shared" si="36"/>
        <v>273.18950868898253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30.659771730325662</v>
      </c>
      <c r="AV60" s="23">
        <f>EXP(-LN(2)/25)*AV59+(1-EXP(-LN(2)/25))/(LN(2)/25)*Calculateur!AQ60*Calculateur!AS60*VLOOKUP('Données projet'!$B$10,Paramètres!$A$1:$I$89,3,0)*0.475*44/12</f>
        <v>3.5699538417022847</v>
      </c>
      <c r="AW60" s="23">
        <f>EXP(-LN(2)/2)*AW59+(1-EXP(-LN(2)/2))/(LN(2)/2)*AQ60*AT60*VLOOKUP('Données projet'!$B$10,Paramètres!$A$1:$I$89,3,0)*0.475*44/12</f>
        <v>0.556998013666956</v>
      </c>
      <c r="AX60" s="23">
        <f t="shared" si="6"/>
        <v>34.786723585694901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7.6</v>
      </c>
      <c r="BD60" s="13">
        <f>IF('Données projet'!$A$88&gt;35,BD59+BC60-BL59,IF(A60&lt;'Données projet'!$A$88,$BA$205^A60,IF(A60='Données projet'!$A$88,'Données projet'!$B$88,BD59+BC60-BL59)))</f>
        <v>191.2</v>
      </c>
      <c r="BE60" s="14">
        <f>BD60*VLOOKUP('Données projet'!$B$11,Paramètres!$A$1:$I$89,3,0)*VLOOKUP('Données projet'!$B$11,Paramètres!$A$1:$I$89,5,0)</f>
        <v>193.8768</v>
      </c>
      <c r="BF60" s="14">
        <f t="shared" si="37"/>
        <v>48.396048099527611</v>
      </c>
      <c r="BG60" s="22">
        <f t="shared" si="7"/>
        <v>421.95854377334393</v>
      </c>
      <c r="BH60" s="62">
        <f t="shared" si="8"/>
        <v>681.48518382402165</v>
      </c>
      <c r="BI60" s="62">
        <f ca="1">AVERAGE(OFFSET($BH$3,0,0,'Données projet'!$E$11+1,1))-AVERAGE(OFFSET($H$3,0,0,'Données projet'!$E$11+1,1))</f>
        <v>396.06968288200386</v>
      </c>
      <c r="BJ60" s="62">
        <f t="shared" si="38"/>
        <v>273.35778700650792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12.554615066416304</v>
      </c>
      <c r="BQ60" s="23">
        <f>EXP(-LN(2)/25)*BQ59+(1-EXP(-LN(2)/25))/(LN(2)/25)*Calculateur!BL60*Calculateur!BN60*VLOOKUP('Données projet'!$B$11,Paramètres!$A$1:$I$89,3,0)*0.475*44/12</f>
        <v>3.8153734146354013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16.369988481051706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>
        <f>VLOOKUP(A61,'Données projet'!$A$35:$I$55,2,0)</f>
        <v>440</v>
      </c>
      <c r="L61" s="13">
        <f>VLOOKUP(A61,'Données projet'!$A$35:$I$55,9,0)</f>
        <v>17.625</v>
      </c>
      <c r="M61" s="13">
        <f t="array" ref="M61">INDEX(L:L,MIN(IF(ISNUMBER(L61:L257),ROW(L61:L257),"")))</f>
        <v>17.625</v>
      </c>
      <c r="N61" s="14">
        <f>IF('Données projet'!$A$36&gt;35,N60+M61-V60,IF(A61&lt;'Données projet'!$A$36,$K$205^A61,IF(A61='Données projet'!$A$36,'Données projet'!$B$36,N60+M61-V60)))</f>
        <v>439.99999999999994</v>
      </c>
      <c r="O61" s="14">
        <f>N61*VLOOKUP('Données projet'!$B$9,Paramètres!$A$1:$I$89,3,0)*VLOOKUP('Données projet'!$B$9,Paramètres!$A$1:$I$89,5,0)</f>
        <v>263.12</v>
      </c>
      <c r="P61" s="14">
        <f t="shared" si="33"/>
        <v>63.386973458752003</v>
      </c>
      <c r="Q61" s="22">
        <f t="shared" si="53"/>
        <v>568.66631210732646</v>
      </c>
      <c r="R61" s="62">
        <f t="shared" si="0"/>
        <v>828.77942270601488</v>
      </c>
      <c r="S61" s="62">
        <f ca="1">AVERAGE(OFFSET($R$3,0,0,'Données projet'!$E$9+1,1))-AVERAGE(OFFSET($H$3,0,0,'Données projet'!$E$9+1,1))</f>
        <v>394.69391436029986</v>
      </c>
      <c r="T61" s="62">
        <f t="shared" si="34"/>
        <v>311.37245656657353</v>
      </c>
      <c r="U61" s="16">
        <f>IF(ISNA(VLOOKUP(A61,'Données projet'!$A$35:$I$55,3,0)),0,VLOOKUP(A61,'Données projet'!$A$35:$I$55,3,0))</f>
        <v>8</v>
      </c>
      <c r="V61" s="16">
        <f>IF(ISNA(VLOOKUP(A61,'Données projet'!$A$35:$I$55,4,0)),0,VLOOKUP(A61,'Données projet'!$A$35:$I$55,4,0))</f>
        <v>78</v>
      </c>
      <c r="W61" s="17">
        <f>IF(ISNA(VLOOKUP(A61,'Données projet'!$A$35:$I$55,5,0)),0%,VLOOKUP(A61,'Données projet'!$A$35:$I$55,5,0)*VLOOKUP('Données projet'!$B$9,Paramètres!$A$1:$I$89,7,0))</f>
        <v>0.38250000000000001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0.15</v>
      </c>
      <c r="Z61" s="23">
        <f>EXP(-LN(2)/35)*Z60+(1-EXP(-LN(2)/35))/(LN(2)/35)*V61*W61*VLOOKUP('Données projet'!$B$9,Paramètres!$A$1:$I$89,3,0)*0.475*44/12</f>
        <v>62.554729489585561</v>
      </c>
      <c r="AA61" s="23">
        <f>EXP(-LN(2)/25)*AA60+(1-EXP(-LN(2)/25))/(LN(2)/25)*Calculateur!V61*Calculateur!X61*VLOOKUP('Données projet'!$B$9,Paramètres!$A$1:$I$89,3,0)*0.475*44/12</f>
        <v>4.1094280156006695</v>
      </c>
      <c r="AB61" s="23">
        <f>EXP(-LN(2)/2)*AB60+(1-EXP(-LN(2)/2))/(LN(2)/2)*V61*Y61*VLOOKUP('Données projet'!$B$9,Paramètres!$A$1:$I$89,3,0)*0.475*44/12</f>
        <v>8.3299697881226216</v>
      </c>
      <c r="AC61" s="24">
        <f t="shared" si="3"/>
        <v>74.99412729330885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13.5</v>
      </c>
      <c r="AI61" s="14">
        <f>IF('Données projet'!$A$62&gt;35,AI60+AH61-AQ60,IF(A61&lt;'Données projet'!$A$62,$AF$205^A61,IF(A61='Données projet'!$A$62,'Données projet'!$B$62,AI60+AH61-AQ60)))</f>
        <v>339.00000000000006</v>
      </c>
      <c r="AJ61" s="14">
        <f>AI61*VLOOKUP('Données projet'!$B$10,Paramètres!$A$1:$I$89,3,0)*VLOOKUP('Données projet'!$B$10,Paramètres!$A$1:$I$89,5,0)</f>
        <v>158.65200000000004</v>
      </c>
      <c r="AK61" s="14">
        <f t="shared" si="35"/>
        <v>40.538320690487296</v>
      </c>
      <c r="AL61" s="22">
        <f t="shared" si="4"/>
        <v>346.92314186926546</v>
      </c>
      <c r="AM61" s="62">
        <f t="shared" si="5"/>
        <v>607.03625246795389</v>
      </c>
      <c r="AN61" s="62">
        <f ca="1">AVERAGE(OFFSET($AM$3,0,0,'Données projet'!$E$10+1,1))-AVERAGE(OFFSET($H$3,0,0,'Données projet'!$E$10+1,1))</f>
        <v>215.50514301701057</v>
      </c>
      <c r="AO61" s="62">
        <f t="shared" si="36"/>
        <v>273.18950868898253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30.058552307308201</v>
      </c>
      <c r="AV61" s="23">
        <f>EXP(-LN(2)/25)*AV60+(1-EXP(-LN(2)/25))/(LN(2)/25)*Calculateur!AQ61*Calculateur!AS61*VLOOKUP('Données projet'!$B$10,Paramètres!$A$1:$I$89,3,0)*0.475*44/12</f>
        <v>3.4723332661652226</v>
      </c>
      <c r="AW61" s="23">
        <f>EXP(-LN(2)/2)*AW60+(1-EXP(-LN(2)/2))/(LN(2)/2)*AQ61*AT61*VLOOKUP('Données projet'!$B$10,Paramètres!$A$1:$I$89,3,0)*0.475*44/12</f>
        <v>0.39385707257134189</v>
      </c>
      <c r="AX61" s="23">
        <f t="shared" si="6"/>
        <v>33.92474264604477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7.6</v>
      </c>
      <c r="BD61" s="13">
        <f>IF('Données projet'!$A$88&gt;35,BD60+BC61-BL60,IF(A61&lt;'Données projet'!$A$88,$BA$205^A61,IF(A61='Données projet'!$A$88,'Données projet'!$B$88,BD60+BC61-BL60)))</f>
        <v>198.79999999999998</v>
      </c>
      <c r="BE61" s="14">
        <f>BD61*VLOOKUP('Données projet'!$B$11,Paramètres!$A$1:$I$89,3,0)*VLOOKUP('Données projet'!$B$11,Paramètres!$A$1:$I$89,5,0)</f>
        <v>201.58320000000001</v>
      </c>
      <c r="BF61" s="14">
        <f t="shared" si="37"/>
        <v>50.091947337331924</v>
      </c>
      <c r="BG61" s="22">
        <f t="shared" si="7"/>
        <v>438.33421494585309</v>
      </c>
      <c r="BH61" s="62">
        <f t="shared" si="8"/>
        <v>698.44732554454151</v>
      </c>
      <c r="BI61" s="62">
        <f ca="1">AVERAGE(OFFSET($BH$3,0,0,'Données projet'!$E$11+1,1))-AVERAGE(OFFSET($H$3,0,0,'Données projet'!$E$11+1,1))</f>
        <v>396.06968288200386</v>
      </c>
      <c r="BJ61" s="62">
        <f t="shared" si="38"/>
        <v>273.35778700650792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12.308426722522949</v>
      </c>
      <c r="BQ61" s="23">
        <f>EXP(-LN(2)/25)*BQ60+(1-EXP(-LN(2)/25))/(LN(2)/25)*Calculateur!BL61*Calculateur!BN61*VLOOKUP('Données projet'!$B$11,Paramètres!$A$1:$I$89,3,0)*0.475*44/12</f>
        <v>3.7110418279704285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16.019468550493379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16.625</v>
      </c>
      <c r="N62" s="14">
        <f>IF('Données projet'!$A$36&gt;35,N61+M62-V61,IF(A62&lt;'Données projet'!$A$36,$K$205^A62,IF(A62='Données projet'!$A$36,'Données projet'!$B$36,N61+M62-V61)))</f>
        <v>378.62499999999994</v>
      </c>
      <c r="O62" s="14">
        <f>N62*VLOOKUP('Données projet'!$B$9,Paramètres!$A$1:$I$89,3,0)*VLOOKUP('Données projet'!$B$9,Paramètres!$A$1:$I$89,5,0)</f>
        <v>226.41774999999998</v>
      </c>
      <c r="P62" s="14">
        <f t="shared" si="33"/>
        <v>55.507409107649494</v>
      </c>
      <c r="Q62" s="22">
        <f t="shared" si="53"/>
        <v>491.0196521124895</v>
      </c>
      <c r="R62" s="62">
        <f t="shared" si="0"/>
        <v>751.70905930633228</v>
      </c>
      <c r="S62" s="62">
        <f ca="1">AVERAGE(OFFSET($R$3,0,0,'Données projet'!$E$9+1,1))-AVERAGE(OFFSET($H$3,0,0,'Données projet'!$E$9+1,1))</f>
        <v>394.69391436029986</v>
      </c>
      <c r="T62" s="62">
        <f t="shared" si="34"/>
        <v>311.37245656657353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61.328069398912319</v>
      </c>
      <c r="AA62" s="23">
        <f>EXP(-LN(2)/25)*AA61+(1-EXP(-LN(2)/25))/(LN(2)/25)*Calculateur!V62*Calculateur!X62*VLOOKUP('Données projet'!$B$9,Paramètres!$A$1:$I$89,3,0)*0.475*44/12</f>
        <v>3.9970554904086422</v>
      </c>
      <c r="AB62" s="23">
        <f>EXP(-LN(2)/2)*AB61+(1-EXP(-LN(2)/2))/(LN(2)/2)*V62*Y62*VLOOKUP('Données projet'!$B$9,Paramètres!$A$1:$I$89,3,0)*0.475*44/12</f>
        <v>5.8901781242605749</v>
      </c>
      <c r="AC62" s="24">
        <f t="shared" si="3"/>
        <v>71.215303013581533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13.5</v>
      </c>
      <c r="AI62" s="14">
        <f>IF('Données projet'!$A$62&gt;35,AI61+AH62-AQ61,IF(A62&lt;'Données projet'!$A$62,$AF$205^A62,IF(A62='Données projet'!$A$62,'Données projet'!$B$62,AI61+AH62-AQ61)))</f>
        <v>352.50000000000006</v>
      </c>
      <c r="AJ62" s="14">
        <f>AI62*VLOOKUP('Données projet'!$B$10,Paramètres!$A$1:$I$89,3,0)*VLOOKUP('Données projet'!$B$10,Paramètres!$A$1:$I$89,5,0)</f>
        <v>164.97000000000003</v>
      </c>
      <c r="AK62" s="14">
        <f t="shared" si="35"/>
        <v>41.961509246867301</v>
      </c>
      <c r="AL62" s="22">
        <f t="shared" si="4"/>
        <v>360.40571193829396</v>
      </c>
      <c r="AM62" s="62">
        <f t="shared" si="5"/>
        <v>621.09511913213669</v>
      </c>
      <c r="AN62" s="62">
        <f ca="1">AVERAGE(OFFSET($AM$3,0,0,'Données projet'!$E$10+1,1))-AVERAGE(OFFSET($H$3,0,0,'Données projet'!$E$10+1,1))</f>
        <v>215.50514301701057</v>
      </c>
      <c r="AO62" s="62">
        <f t="shared" si="36"/>
        <v>273.18950868898253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29.46912243046847</v>
      </c>
      <c r="AV62" s="23">
        <f>EXP(-LN(2)/25)*AV61+(1-EXP(-LN(2)/25))/(LN(2)/25)*Calculateur!AQ62*Calculateur!AS62*VLOOKUP('Données projet'!$B$10,Paramètres!$A$1:$I$89,3,0)*0.475*44/12</f>
        <v>3.3773821303998641</v>
      </c>
      <c r="AW62" s="23">
        <f>EXP(-LN(2)/2)*AW61+(1-EXP(-LN(2)/2))/(LN(2)/2)*AQ62*AT62*VLOOKUP('Données projet'!$B$10,Paramètres!$A$1:$I$89,3,0)*0.475*44/12</f>
        <v>0.27849900683347806</v>
      </c>
      <c r="AX62" s="23">
        <f t="shared" si="6"/>
        <v>33.12500356770181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7.6</v>
      </c>
      <c r="BD62" s="13">
        <f>IF('Données projet'!$A$88&gt;35,BD61+BC62-BL61,IF(A62&lt;'Données projet'!$A$88,$BA$205^A62,IF(A62='Données projet'!$A$88,'Données projet'!$B$88,BD61+BC62-BL61)))</f>
        <v>206.39999999999998</v>
      </c>
      <c r="BE62" s="14">
        <f>BD62*VLOOKUP('Données projet'!$B$11,Paramètres!$A$1:$I$89,3,0)*VLOOKUP('Données projet'!$B$11,Paramètres!$A$1:$I$89,5,0)</f>
        <v>209.28960000000001</v>
      </c>
      <c r="BF62" s="14">
        <f t="shared" si="37"/>
        <v>51.780314822292169</v>
      </c>
      <c r="BG62" s="22">
        <f t="shared" si="7"/>
        <v>454.69676831549214</v>
      </c>
      <c r="BH62" s="62">
        <f t="shared" si="8"/>
        <v>715.38617550933486</v>
      </c>
      <c r="BI62" s="62">
        <f ca="1">AVERAGE(OFFSET($BH$3,0,0,'Données projet'!$E$11+1,1))-AVERAGE(OFFSET($H$3,0,0,'Données projet'!$E$11+1,1))</f>
        <v>396.06968288200386</v>
      </c>
      <c r="BJ62" s="62">
        <f t="shared" si="38"/>
        <v>273.35778700650792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12.067065981893281</v>
      </c>
      <c r="BQ62" s="23">
        <f>EXP(-LN(2)/25)*BQ61+(1-EXP(-LN(2)/25))/(LN(2)/25)*Calculateur!BL62*Calculateur!BN62*VLOOKUP('Données projet'!$B$11,Paramètres!$A$1:$I$89,3,0)*0.475*44/12</f>
        <v>3.6095631940293691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15.676629175922649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16.625</v>
      </c>
      <c r="N63" s="14">
        <f>IF('Données projet'!$A$36&gt;35,N62+M63-V62,IF(A63&lt;'Données projet'!$A$36,$K$205^A63,IF(A63='Données projet'!$A$36,'Données projet'!$B$36,N62+M63-V62)))</f>
        <v>395.24999999999994</v>
      </c>
      <c r="O63" s="14">
        <f>N63*VLOOKUP('Données projet'!$B$9,Paramètres!$A$1:$I$89,3,0)*VLOOKUP('Données projet'!$B$9,Paramètres!$A$1:$I$89,5,0)</f>
        <v>236.35949999999997</v>
      </c>
      <c r="P63" s="14">
        <f t="shared" si="33"/>
        <v>57.655563749416167</v>
      </c>
      <c r="Q63" s="22">
        <f t="shared" si="53"/>
        <v>512.07623603023308</v>
      </c>
      <c r="R63" s="62">
        <f t="shared" si="0"/>
        <v>773.33194236171062</v>
      </c>
      <c r="S63" s="62">
        <f ca="1">AVERAGE(OFFSET($R$3,0,0,'Données projet'!$E$9+1,1))-AVERAGE(OFFSET($H$3,0,0,'Données projet'!$E$9+1,1))</f>
        <v>394.69391436029986</v>
      </c>
      <c r="T63" s="62">
        <f t="shared" si="34"/>
        <v>311.37245656657353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60.125463364428406</v>
      </c>
      <c r="AA63" s="23">
        <f>EXP(-LN(2)/25)*AA62+(1-EXP(-LN(2)/25))/(LN(2)/25)*Calculateur!V63*Calculateur!X63*VLOOKUP('Données projet'!$B$9,Paramètres!$A$1:$I$89,3,0)*0.475*44/12</f>
        <v>3.8877557978274049</v>
      </c>
      <c r="AB63" s="23">
        <f>EXP(-LN(2)/2)*AB62+(1-EXP(-LN(2)/2))/(LN(2)/2)*V63*Y63*VLOOKUP('Données projet'!$B$9,Paramètres!$A$1:$I$89,3,0)*0.475*44/12</f>
        <v>4.1649848940613117</v>
      </c>
      <c r="AC63" s="24">
        <f t="shared" si="3"/>
        <v>68.178204056317114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366</v>
      </c>
      <c r="AG63" s="13">
        <f>VLOOKUP(A63,'Données projet'!$A$61:$I$81,9,0)</f>
        <v>13.5</v>
      </c>
      <c r="AH63" s="13">
        <f t="array" ref="AH63">INDEX(AG:AG,MIN(IF(ISNUMBER(AG63:AG259),ROW(AG63:AG259),"")))</f>
        <v>13.5</v>
      </c>
      <c r="AI63" s="14">
        <f>IF('Données projet'!$A$62&gt;35,AI62+AH63-AQ62,IF(A63&lt;'Données projet'!$A$62,$AF$205^A63,IF(A63='Données projet'!$A$62,'Données projet'!$B$62,AI62+AH63-AQ62)))</f>
        <v>366.00000000000006</v>
      </c>
      <c r="AJ63" s="14">
        <f>AI63*VLOOKUP('Données projet'!$B$10,Paramètres!$A$1:$I$89,3,0)*VLOOKUP('Données projet'!$B$10,Paramètres!$A$1:$I$89,5,0)</f>
        <v>171.28800000000004</v>
      </c>
      <c r="AK63" s="14">
        <f t="shared" si="35"/>
        <v>43.37836589572138</v>
      </c>
      <c r="AL63" s="22">
        <f t="shared" si="4"/>
        <v>373.87725393504815</v>
      </c>
      <c r="AM63" s="62">
        <f t="shared" si="5"/>
        <v>635.13296026652563</v>
      </c>
      <c r="AN63" s="62">
        <f ca="1">AVERAGE(OFFSET($AM$3,0,0,'Données projet'!$E$10+1,1))-AVERAGE(OFFSET($H$3,0,0,'Données projet'!$E$10+1,1))</f>
        <v>215.50514301701057</v>
      </c>
      <c r="AO63" s="62">
        <f t="shared" si="36"/>
        <v>273.18950868898253</v>
      </c>
      <c r="AP63" s="16">
        <f>IF(ISNA(VLOOKUP(A63,'Données projet'!$A$61:$I$81,3,0)),0,VLOOKUP(A63,'Données projet'!$A$61:$I$81,3,0))</f>
        <v>5</v>
      </c>
      <c r="AQ63" s="16">
        <f>IF(ISNA(VLOOKUP(A63,'Données projet'!$A$61:$I$81,4,0)),0,VLOOKUP(A63,'Données projet'!$A$61:$I$81,4,0))</f>
        <v>366</v>
      </c>
      <c r="AR63" s="17">
        <f>IF(ISNA(VLOOKUP(A63,'Données projet'!$A$61:$I$81,5,0)),0%,VLOOKUP(A63,'Données projet'!$A$61:$I$81,5,0)*VLOOKUP('Données projet'!$B$10,Paramètres!$A$1:$I$89,7,0))</f>
        <v>0.46750000000000003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0.15</v>
      </c>
      <c r="AU63" s="23">
        <f>EXP(-LN(2)/35)*AU62+(1-EXP(-LN(2)/35))/(LN(2)/35)*AQ63*AR63*VLOOKUP('Données projet'!$B$10,Paramètres!$A$1:$I$89,3,0)*0.475*44/12</f>
        <v>135.11873853125266</v>
      </c>
      <c r="AV63" s="23">
        <f>EXP(-LN(2)/25)*AV62+(1-EXP(-LN(2)/25))/(LN(2)/25)*Calculateur!AQ63*Calculateur!AS63*VLOOKUP('Données projet'!$B$10,Paramètres!$A$1:$I$89,3,0)*0.475*44/12</f>
        <v>3.2850274384352729</v>
      </c>
      <c r="AW63" s="23">
        <f>EXP(-LN(2)/2)*AW62+(1-EXP(-LN(2)/2))/(LN(2)/2)*AQ63*AT63*VLOOKUP('Données projet'!$B$10,Paramètres!$A$1:$I$89,3,0)*0.475*44/12</f>
        <v>29.287599403092656</v>
      </c>
      <c r="AX63" s="23">
        <f t="shared" si="6"/>
        <v>167.69136537278058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214</v>
      </c>
      <c r="BB63" s="13">
        <f>VLOOKUP(A63,'Données projet'!$A$87:$I$107,9,0)</f>
        <v>7.6</v>
      </c>
      <c r="BC63" s="13">
        <f t="array" ref="BC63">INDEX(BB:BB,MIN(IF(ISNUMBER(BB63:BB259),ROW(BB63:BB259),"")))</f>
        <v>7.6</v>
      </c>
      <c r="BD63" s="13">
        <f>IF('Données projet'!$A$88&gt;35,BD62+BC63-BL62,IF(A63&lt;'Données projet'!$A$88,$BA$205^A63,IF(A63='Données projet'!$A$88,'Données projet'!$B$88,BD62+BC63-BL62)))</f>
        <v>213.99999999999997</v>
      </c>
      <c r="BE63" s="14">
        <f>BD63*VLOOKUP('Données projet'!$B$11,Paramètres!$A$1:$I$89,3,0)*VLOOKUP('Données projet'!$B$11,Paramètres!$A$1:$I$89,5,0)</f>
        <v>216.99600000000001</v>
      </c>
      <c r="BF63" s="14">
        <f t="shared" si="37"/>
        <v>53.461459647386917</v>
      </c>
      <c r="BG63" s="22">
        <f t="shared" si="7"/>
        <v>471.04674221919896</v>
      </c>
      <c r="BH63" s="62">
        <f t="shared" si="8"/>
        <v>732.30244855067644</v>
      </c>
      <c r="BI63" s="62">
        <f ca="1">AVERAGE(OFFSET($BH$3,0,0,'Données projet'!$E$11+1,1))-AVERAGE(OFFSET($H$3,0,0,'Données projet'!$E$11+1,1))</f>
        <v>396.06968288200386</v>
      </c>
      <c r="BJ63" s="62">
        <f t="shared" si="38"/>
        <v>273.35778700650792</v>
      </c>
      <c r="BK63" s="16">
        <f>IF(ISNA(VLOOKUP(A63,'Données projet'!$A$87:$I$107,3,0)),0,VLOOKUP(A63,'Données projet'!$A$87:$I$107,3,0))</f>
        <v>8</v>
      </c>
      <c r="BL63" s="16">
        <f>IF(ISNA(VLOOKUP(A63,'Données projet'!$A$87:$I$107,4,0)),0,VLOOKUP(A63,'Données projet'!$A$87:$I$107,4,0))</f>
        <v>21</v>
      </c>
      <c r="BM63" s="17">
        <f>IF(ISNA(VLOOKUP(A63,'Données projet'!$A$87:$I$107,5,0)),0%,VLOOKUP(A63,'Données projet'!$A$87:$I$107,5,0)*VLOOKUP('Données projet'!$B$11,Paramètres!$A$1:$I$89,7,0))</f>
        <v>0.25800000000000001</v>
      </c>
      <c r="BN63" s="17">
        <f>IF(ISNA(VLOOKUP(A63,'Données projet'!$A$87:$I$107,6,0)),0%,VLOOKUP(A63,'Données projet'!$A$87:$I$107,6,0)*VLOOKUP('Données projet'!$B$11,Paramètres!$A$1:$I$89,7,0))</f>
        <v>0.17200000000000001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17.9037288337097</v>
      </c>
      <c r="BQ63" s="23">
        <f>EXP(-LN(2)/25)*BQ62+(1-EXP(-LN(2)/25))/(LN(2)/25)*Calculateur!BL63*Calculateur!BN63*VLOOKUP('Données projet'!$B$11,Paramètres!$A$1:$I$89,3,0)*0.475*44/12</f>
        <v>7.5437780294178527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25.447506863127551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16.625</v>
      </c>
      <c r="N64" s="14">
        <f>IF('Données projet'!$A$36&gt;35,N63+M64-V63,IF(A64&lt;'Données projet'!$A$36,$K$205^A64,IF(A64='Données projet'!$A$36,'Données projet'!$B$36,N63+M64-V63)))</f>
        <v>411.87499999999994</v>
      </c>
      <c r="O64" s="14">
        <f>N64*VLOOKUP('Données projet'!$B$9,Paramètres!$A$1:$I$89,3,0)*VLOOKUP('Données projet'!$B$9,Paramètres!$A$1:$I$89,5,0)</f>
        <v>246.30124999999998</v>
      </c>
      <c r="P64" s="14">
        <f t="shared" si="33"/>
        <v>59.793223430016852</v>
      </c>
      <c r="Q64" s="22">
        <f t="shared" si="53"/>
        <v>533.11454122394582</v>
      </c>
      <c r="R64" s="62">
        <f t="shared" si="0"/>
        <v>794.92672266907516</v>
      </c>
      <c r="S64" s="62">
        <f ca="1">AVERAGE(OFFSET($R$3,0,0,'Données projet'!$E$9+1,1))-AVERAGE(OFFSET($H$3,0,0,'Données projet'!$E$9+1,1))</f>
        <v>394.69391436029986</v>
      </c>
      <c r="T64" s="62">
        <f t="shared" si="34"/>
        <v>311.37245656657353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58.94643970076347</v>
      </c>
      <c r="AA64" s="23">
        <f>EXP(-LN(2)/25)*AA63+(1-EXP(-LN(2)/25))/(LN(2)/25)*Calculateur!V64*Calculateur!X64*VLOOKUP('Données projet'!$B$9,Paramètres!$A$1:$I$89,3,0)*0.475*44/12</f>
        <v>3.7814449110876227</v>
      </c>
      <c r="AB64" s="23">
        <f>EXP(-LN(2)/2)*AB63+(1-EXP(-LN(2)/2))/(LN(2)/2)*V64*Y64*VLOOKUP('Données projet'!$B$9,Paramètres!$A$1:$I$89,3,0)*0.475*44/12</f>
        <v>2.9450890621302879</v>
      </c>
      <c r="AC64" s="24">
        <f t="shared" si="3"/>
        <v>65.672973673981389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5.6843418860808015E-14</v>
      </c>
      <c r="AJ64" s="14">
        <f>AI64*VLOOKUP('Données projet'!$B$10,Paramètres!$A$1:$I$89,3,0)*VLOOKUP('Données projet'!$B$10,Paramètres!$A$1:$I$89,5,0)</f>
        <v>2.6602720026858149E-14</v>
      </c>
      <c r="AK64" s="14">
        <f t="shared" si="35"/>
        <v>4.6624771586320878E-13</v>
      </c>
      <c r="AL64" s="22">
        <f t="shared" si="4"/>
        <v>8.583811758418665E-13</v>
      </c>
      <c r="AM64" s="62">
        <f t="shared" si="5"/>
        <v>261.81218144513019</v>
      </c>
      <c r="AN64" s="62">
        <f ca="1">AVERAGE(OFFSET($AM$3,0,0,'Données projet'!$E$10+1,1))-AVERAGE(OFFSET($H$3,0,0,'Données projet'!$E$10+1,1))</f>
        <v>215.50514301701057</v>
      </c>
      <c r="AO64" s="62">
        <f t="shared" si="36"/>
        <v>273.18950868898253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132.46914248294757</v>
      </c>
      <c r="AV64" s="23">
        <f>EXP(-LN(2)/25)*AV63+(1-EXP(-LN(2)/25))/(LN(2)/25)*Calculateur!AQ64*Calculateur!AS64*VLOOKUP('Données projet'!$B$10,Paramètres!$A$1:$I$89,3,0)*0.475*44/12</f>
        <v>3.1951981903791755</v>
      </c>
      <c r="AW64" s="23">
        <f>EXP(-LN(2)/2)*AW63+(1-EXP(-LN(2)/2))/(LN(2)/2)*AQ64*AT64*VLOOKUP('Données projet'!$B$10,Paramètres!$A$1:$I$89,3,0)*0.475*44/12</f>
        <v>20.709460142601902</v>
      </c>
      <c r="AX64" s="23">
        <f t="shared" si="6"/>
        <v>156.37380081592866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7.2</v>
      </c>
      <c r="BD64" s="13">
        <f>IF('Données projet'!$A$88&gt;35,BD63+BC64-BL63,IF(A64&lt;'Données projet'!$A$88,$BA$205^A64,IF(A64='Données projet'!$A$88,'Données projet'!$B$88,BD63+BC64-BL63)))</f>
        <v>200.19999999999996</v>
      </c>
      <c r="BE64" s="14">
        <f>BD64*VLOOKUP('Données projet'!$B$11,Paramètres!$A$1:$I$89,3,0)*VLOOKUP('Données projet'!$B$11,Paramètres!$A$1:$I$89,5,0)</f>
        <v>203.00279999999995</v>
      </c>
      <c r="BF64" s="14">
        <f t="shared" si="37"/>
        <v>50.403518824343074</v>
      </c>
      <c r="BG64" s="22">
        <f t="shared" si="7"/>
        <v>441.3493386190641</v>
      </c>
      <c r="BH64" s="62">
        <f t="shared" si="8"/>
        <v>703.16152006419338</v>
      </c>
      <c r="BI64" s="62">
        <f ca="1">AVERAGE(OFFSET($BH$3,0,0,'Données projet'!$E$11+1,1))-AVERAGE(OFFSET($H$3,0,0,'Données projet'!$E$11+1,1))</f>
        <v>396.06968288200386</v>
      </c>
      <c r="BJ64" s="62">
        <f t="shared" si="38"/>
        <v>273.35778700650792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17.552647631476962</v>
      </c>
      <c r="BQ64" s="23">
        <f>EXP(-LN(2)/25)*BQ63+(1-EXP(-LN(2)/25))/(LN(2)/25)*Calculateur!BL64*Calculateur!BN64*VLOOKUP('Données projet'!$B$11,Paramètres!$A$1:$I$89,3,0)*0.475*44/12</f>
        <v>7.3374930224933763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24.890140653970338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16.625</v>
      </c>
      <c r="N65" s="14">
        <f>IF('Données projet'!$A$36&gt;35,N64+M65-V64,IF(A65&lt;'Données projet'!$A$36,$K$205^A65,IF(A65='Données projet'!$A$36,'Données projet'!$B$36,N64+M65-V64)))</f>
        <v>428.49999999999994</v>
      </c>
      <c r="O65" s="14">
        <f>N65*VLOOKUP('Données projet'!$B$9,Paramètres!$A$1:$I$89,3,0)*VLOOKUP('Données projet'!$B$9,Paramètres!$A$1:$I$89,5,0)</f>
        <v>256.24299999999999</v>
      </c>
      <c r="P65" s="14">
        <f t="shared" si="33"/>
        <v>61.920860231490025</v>
      </c>
      <c r="Q65" s="22">
        <f t="shared" si="53"/>
        <v>554.13538990317852</v>
      </c>
      <c r="R65" s="62">
        <f t="shared" si="0"/>
        <v>816.49439286282984</v>
      </c>
      <c r="S65" s="62">
        <f ca="1">AVERAGE(OFFSET($R$3,0,0,'Données projet'!$E$9+1,1))-AVERAGE(OFFSET($H$3,0,0,'Données projet'!$E$9+1,1))</f>
        <v>394.69391436029986</v>
      </c>
      <c r="T65" s="62">
        <f t="shared" si="34"/>
        <v>311.37245656657353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57.790535972009579</v>
      </c>
      <c r="AA65" s="23">
        <f>EXP(-LN(2)/25)*AA64+(1-EXP(-LN(2)/25))/(LN(2)/25)*Calculateur!V65*Calculateur!X65*VLOOKUP('Données projet'!$B$9,Paramètres!$A$1:$I$89,3,0)*0.475*44/12</f>
        <v>3.6780411011363863</v>
      </c>
      <c r="AB65" s="23">
        <f>EXP(-LN(2)/2)*AB64+(1-EXP(-LN(2)/2))/(LN(2)/2)*V65*Y65*VLOOKUP('Données projet'!$B$9,Paramètres!$A$1:$I$89,3,0)*0.475*44/12</f>
        <v>2.0824924470306563</v>
      </c>
      <c r="AC65" s="24">
        <f t="shared" si="3"/>
        <v>63.551069520176625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5.6843418860808015E-14</v>
      </c>
      <c r="AJ65" s="14">
        <f>AI65*VLOOKUP('Données projet'!$B$10,Paramètres!$A$1:$I$89,3,0)*VLOOKUP('Données projet'!$B$10,Paramètres!$A$1:$I$89,5,0)</f>
        <v>2.6602720026858149E-14</v>
      </c>
      <c r="AK65" s="14">
        <f t="shared" si="35"/>
        <v>4.6624771586320878E-13</v>
      </c>
      <c r="AL65" s="22">
        <f t="shared" si="4"/>
        <v>8.583811758418665E-13</v>
      </c>
      <c r="AM65" s="62">
        <f t="shared" si="5"/>
        <v>262.35900295965217</v>
      </c>
      <c r="AN65" s="62">
        <f ca="1">AVERAGE(OFFSET($AM$3,0,0,'Données projet'!$E$10+1,1))-AVERAGE(OFFSET($H$3,0,0,'Données projet'!$E$10+1,1))</f>
        <v>215.50514301701057</v>
      </c>
      <c r="AO65" s="62">
        <f t="shared" si="36"/>
        <v>273.18950868898253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129.87150339705573</v>
      </c>
      <c r="AV65" s="23">
        <f>EXP(-LN(2)/25)*AV64+(1-EXP(-LN(2)/25))/(LN(2)/25)*Calculateur!AQ65*Calculateur!AS65*VLOOKUP('Données projet'!$B$10,Paramètres!$A$1:$I$89,3,0)*0.475*44/12</f>
        <v>3.1078253278350867</v>
      </c>
      <c r="AW65" s="23">
        <f>EXP(-LN(2)/2)*AW64+(1-EXP(-LN(2)/2))/(LN(2)/2)*AQ65*AT65*VLOOKUP('Données projet'!$B$10,Paramètres!$A$1:$I$89,3,0)*0.475*44/12</f>
        <v>14.643799701546332</v>
      </c>
      <c r="AX65" s="23">
        <f t="shared" si="6"/>
        <v>147.62312842643715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7.2</v>
      </c>
      <c r="BD65" s="13">
        <f>IF('Données projet'!$A$88&gt;35,BD64+BC65-BL64,IF(A65&lt;'Données projet'!$A$88,$BA$205^A65,IF(A65='Données projet'!$A$88,'Données projet'!$B$88,BD64+BC65-BL64)))</f>
        <v>207.39999999999995</v>
      </c>
      <c r="BE65" s="14">
        <f>BD65*VLOOKUP('Données projet'!$B$11,Paramètres!$A$1:$I$89,3,0)*VLOOKUP('Données projet'!$B$11,Paramètres!$A$1:$I$89,5,0)</f>
        <v>210.30359999999996</v>
      </c>
      <c r="BF65" s="14">
        <f t="shared" si="37"/>
        <v>52.001924357524459</v>
      </c>
      <c r="BG65" s="22">
        <f t="shared" si="7"/>
        <v>456.84878825602163</v>
      </c>
      <c r="BH65" s="62">
        <f t="shared" si="8"/>
        <v>719.20779121567296</v>
      </c>
      <c r="BI65" s="62">
        <f ca="1">AVERAGE(OFFSET($BH$3,0,0,'Données projet'!$E$11+1,1))-AVERAGE(OFFSET($H$3,0,0,'Données projet'!$E$11+1,1))</f>
        <v>396.06968288200386</v>
      </c>
      <c r="BJ65" s="62">
        <f t="shared" si="38"/>
        <v>273.35778700650792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17.208450917481617</v>
      </c>
      <c r="BQ65" s="23">
        <f>EXP(-LN(2)/25)*BQ64+(1-EXP(-LN(2)/25))/(LN(2)/25)*Calculateur!BL65*Calculateur!BN65*VLOOKUP('Données projet'!$B$11,Paramètres!$A$1:$I$89,3,0)*0.475*44/12</f>
        <v>7.1368488899313069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24.345299807412925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16.625</v>
      </c>
      <c r="N66" s="14">
        <f>IF('Données projet'!$A$36&gt;35,N65+M66-V65,IF(A66&lt;'Données projet'!$A$36,$K$205^A66,IF(A66='Données projet'!$A$36,'Données projet'!$B$36,N65+M66-V65)))</f>
        <v>445.12499999999994</v>
      </c>
      <c r="O66" s="14">
        <f>N66*VLOOKUP('Données projet'!$B$9,Paramètres!$A$1:$I$89,3,0)*VLOOKUP('Données projet'!$B$9,Paramètres!$A$1:$I$89,5,0)</f>
        <v>266.18475000000001</v>
      </c>
      <c r="P66" s="14">
        <f t="shared" si="33"/>
        <v>64.038907529798962</v>
      </c>
      <c r="Q66" s="22">
        <f t="shared" si="53"/>
        <v>575.13953686439993</v>
      </c>
      <c r="R66" s="62">
        <f t="shared" si="0"/>
        <v>838.03587520780604</v>
      </c>
      <c r="S66" s="62">
        <f ca="1">AVERAGE(OFFSET($R$3,0,0,'Données projet'!$E$9+1,1))-AVERAGE(OFFSET($H$3,0,0,'Données projet'!$E$9+1,1))</f>
        <v>394.69391436029986</v>
      </c>
      <c r="T66" s="62">
        <f t="shared" si="34"/>
        <v>311.37245656657353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56.657298810344891</v>
      </c>
      <c r="AA66" s="23">
        <f>EXP(-LN(2)/25)*AA65+(1-EXP(-LN(2)/25))/(LN(2)/25)*Calculateur!V66*Calculateur!X66*VLOOKUP('Données projet'!$B$9,Paramètres!$A$1:$I$89,3,0)*0.475*44/12</f>
        <v>3.5774648738060364</v>
      </c>
      <c r="AB66" s="23">
        <f>EXP(-LN(2)/2)*AB65+(1-EXP(-LN(2)/2))/(LN(2)/2)*V66*Y66*VLOOKUP('Données projet'!$B$9,Paramètres!$A$1:$I$89,3,0)*0.475*44/12</f>
        <v>1.4725445310651444</v>
      </c>
      <c r="AC66" s="24">
        <f t="shared" si="3"/>
        <v>61.707308215216074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5.6843418860808015E-14</v>
      </c>
      <c r="AJ66" s="14">
        <f>AI66*VLOOKUP('Données projet'!$B$10,Paramètres!$A$1:$I$89,3,0)*VLOOKUP('Données projet'!$B$10,Paramètres!$A$1:$I$89,5,0)</f>
        <v>2.6602720026858149E-14</v>
      </c>
      <c r="AK66" s="14">
        <f t="shared" si="35"/>
        <v>4.6624771586320878E-13</v>
      </c>
      <c r="AL66" s="22">
        <f t="shared" si="4"/>
        <v>8.583811758418665E-13</v>
      </c>
      <c r="AM66" s="62">
        <f t="shared" si="5"/>
        <v>262.89633834340697</v>
      </c>
      <c r="AN66" s="62">
        <f ca="1">AVERAGE(OFFSET($AM$3,0,0,'Données projet'!$E$10+1,1))-AVERAGE(OFFSET($H$3,0,0,'Données projet'!$E$10+1,1))</f>
        <v>215.50514301701057</v>
      </c>
      <c r="AO66" s="62">
        <f t="shared" si="36"/>
        <v>273.18950868898253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127.32480242923484</v>
      </c>
      <c r="AV66" s="23">
        <f>EXP(-LN(2)/25)*AV65+(1-EXP(-LN(2)/25))/(LN(2)/25)*Calculateur!AQ66*Calculateur!AS66*VLOOKUP('Données projet'!$B$10,Paramètres!$A$1:$I$89,3,0)*0.475*44/12</f>
        <v>3.0228416808120051</v>
      </c>
      <c r="AW66" s="23">
        <f>EXP(-LN(2)/2)*AW65+(1-EXP(-LN(2)/2))/(LN(2)/2)*AQ66*AT66*VLOOKUP('Données projet'!$B$10,Paramètres!$A$1:$I$89,3,0)*0.475*44/12</f>
        <v>10.354730071300953</v>
      </c>
      <c r="AX66" s="23">
        <f t="shared" si="6"/>
        <v>140.70237418134781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7.2</v>
      </c>
      <c r="BD66" s="13">
        <f>IF('Données projet'!$A$88&gt;35,BD65+BC66-BL65,IF(A66&lt;'Données projet'!$A$88,$BA$205^A66,IF(A66='Données projet'!$A$88,'Données projet'!$B$88,BD65+BC66-BL65)))</f>
        <v>214.59999999999994</v>
      </c>
      <c r="BE66" s="14">
        <f>BD66*VLOOKUP('Données projet'!$B$11,Paramètres!$A$1:$I$89,3,0)*VLOOKUP('Données projet'!$B$11,Paramètres!$A$1:$I$89,5,0)</f>
        <v>217.60439999999994</v>
      </c>
      <c r="BF66" s="14">
        <f t="shared" si="37"/>
        <v>53.593882578706356</v>
      </c>
      <c r="BG66" s="22">
        <f t="shared" si="7"/>
        <v>472.33700882458015</v>
      </c>
      <c r="BH66" s="62">
        <f t="shared" si="8"/>
        <v>735.23334716798627</v>
      </c>
      <c r="BI66" s="62">
        <f ca="1">AVERAGE(OFFSET($BH$3,0,0,'Données projet'!$E$11+1,1))-AVERAGE(OFFSET($H$3,0,0,'Données projet'!$E$11+1,1))</f>
        <v>396.06968288200386</v>
      </c>
      <c r="BJ66" s="62">
        <f t="shared" si="38"/>
        <v>273.35778700650792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16.871003691108456</v>
      </c>
      <c r="BQ66" s="23">
        <f>EXP(-LN(2)/25)*BQ65+(1-EXP(-LN(2)/25))/(LN(2)/25)*Calculateur!BL66*Calculateur!BN66*VLOOKUP('Données projet'!$B$11,Paramètres!$A$1:$I$89,3,0)*0.475*44/12</f>
        <v>6.9416913817255637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23.812695072834018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16.625</v>
      </c>
      <c r="N67" s="14">
        <f>IF('Données projet'!$A$36&gt;35,N66+M67-V66,IF(A67&lt;'Données projet'!$A$36,$K$205^A67,IF(A67='Données projet'!$A$36,'Données projet'!$B$36,N66+M67-V66)))</f>
        <v>461.74999999999994</v>
      </c>
      <c r="O67" s="14">
        <f>N67*VLOOKUP('Données projet'!$B$9,Paramètres!$A$1:$I$89,3,0)*VLOOKUP('Données projet'!$B$9,Paramètres!$A$1:$I$89,5,0)</f>
        <v>276.12649999999996</v>
      </c>
      <c r="P67" s="14">
        <f t="shared" si="33"/>
        <v>66.147764494536574</v>
      </c>
      <c r="Q67" s="22">
        <f t="shared" ref="Q67:Q98" si="54">(O67+P67)*0.475*44/12</f>
        <v>596.12767732798443</v>
      </c>
      <c r="R67" s="62">
        <f t="shared" ref="R67:R130" si="55">Q67+(I67+J67)*44/12</f>
        <v>859.55202948753913</v>
      </c>
      <c r="S67" s="62">
        <f ca="1">AVERAGE(OFFSET($R$3,0,0,'Données projet'!$E$9+1,1))-AVERAGE(OFFSET($H$3,0,0,'Données projet'!$E$9+1,1))</f>
        <v>394.69391436029986</v>
      </c>
      <c r="T67" s="62">
        <f t="shared" si="34"/>
        <v>311.37245656657353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55.546283738214029</v>
      </c>
      <c r="AA67" s="23">
        <f>EXP(-LN(2)/25)*AA66+(1-EXP(-LN(2)/25))/(LN(2)/25)*Calculateur!V67*Calculateur!X67*VLOOKUP('Données projet'!$B$9,Paramètres!$A$1:$I$89,3,0)*0.475*44/12</f>
        <v>3.479638908701109</v>
      </c>
      <c r="AB67" s="23">
        <f>EXP(-LN(2)/2)*AB66+(1-EXP(-LN(2)/2))/(LN(2)/2)*V67*Y67*VLOOKUP('Données projet'!$B$9,Paramètres!$A$1:$I$89,3,0)*0.475*44/12</f>
        <v>1.0412462235153284</v>
      </c>
      <c r="AC67" s="24">
        <f t="shared" si="3"/>
        <v>60.067168870430471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5.6843418860808015E-14</v>
      </c>
      <c r="AJ67" s="14">
        <f>AI67*VLOOKUP('Données projet'!$B$10,Paramètres!$A$1:$I$89,3,0)*VLOOKUP('Données projet'!$B$10,Paramètres!$A$1:$I$89,5,0)</f>
        <v>2.6602720026858149E-14</v>
      </c>
      <c r="AK67" s="14">
        <f t="shared" si="35"/>
        <v>4.6624771586320878E-13</v>
      </c>
      <c r="AL67" s="22">
        <f t="shared" si="4"/>
        <v>8.583811758418665E-13</v>
      </c>
      <c r="AM67" s="62">
        <f t="shared" si="5"/>
        <v>263.42435215955561</v>
      </c>
      <c r="AN67" s="62">
        <f ca="1">AVERAGE(OFFSET($AM$3,0,0,'Données projet'!$E$10+1,1))-AVERAGE(OFFSET($H$3,0,0,'Données projet'!$E$10+1,1))</f>
        <v>215.50514301701057</v>
      </c>
      <c r="AO67" s="62">
        <f t="shared" si="36"/>
        <v>273.18950868898253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124.82804071405869</v>
      </c>
      <c r="AV67" s="23">
        <f>EXP(-LN(2)/25)*AV66+(1-EXP(-LN(2)/25))/(LN(2)/25)*Calculateur!AQ67*Calculateur!AS67*VLOOKUP('Données projet'!$B$10,Paramètres!$A$1:$I$89,3,0)*0.475*44/12</f>
        <v>2.9401819160858658</v>
      </c>
      <c r="AW67" s="23">
        <f>EXP(-LN(2)/2)*AW66+(1-EXP(-LN(2)/2))/(LN(2)/2)*AQ67*AT67*VLOOKUP('Données projet'!$B$10,Paramètres!$A$1:$I$89,3,0)*0.475*44/12</f>
        <v>7.3218998507731667</v>
      </c>
      <c r="AX67" s="23">
        <f t="shared" si="6"/>
        <v>135.09012248091773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7.2</v>
      </c>
      <c r="BD67" s="13">
        <f>IF('Données projet'!$A$88&gt;35,BD66+BC67-BL66,IF(A67&lt;'Données projet'!$A$88,$BA$205^A67,IF(A67='Données projet'!$A$88,'Données projet'!$B$88,BD66+BC67-BL66)))</f>
        <v>221.79999999999993</v>
      </c>
      <c r="BE67" s="14">
        <f>BD67*VLOOKUP('Données projet'!$B$11,Paramètres!$A$1:$I$89,3,0)*VLOOKUP('Données projet'!$B$11,Paramètres!$A$1:$I$89,5,0)</f>
        <v>224.90519999999995</v>
      </c>
      <c r="BF67" s="14">
        <f t="shared" si="37"/>
        <v>55.17963460003309</v>
      </c>
      <c r="BG67" s="22">
        <f t="shared" si="7"/>
        <v>487.81442026172425</v>
      </c>
      <c r="BH67" s="62">
        <f t="shared" si="8"/>
        <v>751.23877242127901</v>
      </c>
      <c r="BI67" s="62">
        <f ca="1">AVERAGE(OFFSET($BH$3,0,0,'Données projet'!$E$11+1,1))-AVERAGE(OFFSET($H$3,0,0,'Données projet'!$E$11+1,1))</f>
        <v>396.06968288200386</v>
      </c>
      <c r="BJ67" s="62">
        <f t="shared" si="38"/>
        <v>273.35778700650792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16.540173599021987</v>
      </c>
      <c r="BQ67" s="23">
        <f>EXP(-LN(2)/25)*BQ66+(1-EXP(-LN(2)/25))/(LN(2)/25)*Calculateur!BL67*Calculateur!BN67*VLOOKUP('Données projet'!$B$11,Paramètres!$A$1:$I$89,3,0)*0.475*44/12</f>
        <v>6.7518704658445934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23.29204406486658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16.625</v>
      </c>
      <c r="N68" s="14">
        <f>IF('Données projet'!$A$36&gt;35,N67+M68-V67,IF(A68&lt;'Données projet'!$A$36,$K$205^A68,IF(A68='Données projet'!$A$36,'Données projet'!$B$36,N67+M68-V67)))</f>
        <v>478.37499999999994</v>
      </c>
      <c r="O68" s="14">
        <f>N68*VLOOKUP('Données projet'!$B$9,Paramètres!$A$1:$I$89,3,0)*VLOOKUP('Données projet'!$B$9,Paramètres!$A$1:$I$89,5,0)</f>
        <v>286.06824999999998</v>
      </c>
      <c r="P68" s="14">
        <f t="shared" si="33"/>
        <v>68.247799922382825</v>
      </c>
      <c r="Q68" s="22">
        <f t="shared" si="54"/>
        <v>617.10045361481673</v>
      </c>
      <c r="R68" s="62">
        <f t="shared" si="55"/>
        <v>881.04365973127187</v>
      </c>
      <c r="S68" s="62">
        <f ca="1">AVERAGE(OFFSET($R$3,0,0,'Données projet'!$E$9+1,1))-AVERAGE(OFFSET($H$3,0,0,'Données projet'!$E$9+1,1))</f>
        <v>394.69391436029986</v>
      </c>
      <c r="T68" s="62">
        <f t="shared" si="34"/>
        <v>311.37245656657353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54.457054993995371</v>
      </c>
      <c r="AA68" s="23">
        <f>EXP(-LN(2)/25)*AA67+(1-EXP(-LN(2)/25))/(LN(2)/25)*Calculateur!V68*Calculateur!X68*VLOOKUP('Données projet'!$B$9,Paramètres!$A$1:$I$89,3,0)*0.475*44/12</f>
        <v>3.3844879997564199</v>
      </c>
      <c r="AB68" s="23">
        <f>EXP(-LN(2)/2)*AB67+(1-EXP(-LN(2)/2))/(LN(2)/2)*V68*Y68*VLOOKUP('Données projet'!$B$9,Paramètres!$A$1:$I$89,3,0)*0.475*44/12</f>
        <v>0.7362722655325723</v>
      </c>
      <c r="AC68" s="24">
        <f t="shared" ref="AC68:AC131" si="57">SUM(Z68:AB68)</f>
        <v>58.577815259284357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5.6843418860808015E-14</v>
      </c>
      <c r="AJ68" s="14">
        <f>AI68*VLOOKUP('Données projet'!$B$10,Paramètres!$A$1:$I$89,3,0)*VLOOKUP('Données projet'!$B$10,Paramètres!$A$1:$I$89,5,0)</f>
        <v>2.6602720026858149E-14</v>
      </c>
      <c r="AK68" s="14">
        <f t="shared" si="35"/>
        <v>4.6624771586320878E-13</v>
      </c>
      <c r="AL68" s="22">
        <f t="shared" ref="AL68:AL131" si="58">(AJ68+AK68)*0.475*44/12</f>
        <v>8.583811758418665E-13</v>
      </c>
      <c r="AM68" s="62">
        <f t="shared" ref="AM68:AM131" si="59">AL68+(AD68+AE68)*44/12</f>
        <v>263.94320611645605</v>
      </c>
      <c r="AN68" s="62">
        <f ca="1">AVERAGE(OFFSET($AM$3,0,0,'Données projet'!$E$10+1,1))-AVERAGE(OFFSET($H$3,0,0,'Données projet'!$E$10+1,1))</f>
        <v>215.50514301701057</v>
      </c>
      <c r="AO68" s="62">
        <f t="shared" si="36"/>
        <v>273.18950868898253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122.38023897324287</v>
      </c>
      <c r="AV68" s="23">
        <f>EXP(-LN(2)/25)*AV67+(1-EXP(-LN(2)/25))/(LN(2)/25)*Calculateur!AQ68*Calculateur!AS68*VLOOKUP('Données projet'!$B$10,Paramètres!$A$1:$I$89,3,0)*0.475*44/12</f>
        <v>2.8597824869730508</v>
      </c>
      <c r="AW68" s="23">
        <f>EXP(-LN(2)/2)*AW67+(1-EXP(-LN(2)/2))/(LN(2)/2)*AQ68*AT68*VLOOKUP('Données projet'!$B$10,Paramètres!$A$1:$I$89,3,0)*0.475*44/12</f>
        <v>5.1773650356504772</v>
      </c>
      <c r="AX68" s="23">
        <f t="shared" ref="AX68:AX131" si="60">SUM(AU68:AW68)</f>
        <v>130.4173864958664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229</v>
      </c>
      <c r="BB68" s="13">
        <f>VLOOKUP(A68,'Données projet'!$A$87:$I$107,9,0)</f>
        <v>7.2</v>
      </c>
      <c r="BC68" s="13">
        <f t="array" ref="BC68">INDEX(BB:BB,MIN(IF(ISNUMBER(BB68:BB264),ROW(BB68:BB264),"")))</f>
        <v>7.2</v>
      </c>
      <c r="BD68" s="13">
        <f>IF('Données projet'!$A$88&gt;35,BD67+BC68-BL67,IF(A68&lt;'Données projet'!$A$88,$BA$205^A68,IF(A68='Données projet'!$A$88,'Données projet'!$B$88,BD67+BC68-BL67)))</f>
        <v>228.99999999999991</v>
      </c>
      <c r="BE68" s="14">
        <f>BD68*VLOOKUP('Données projet'!$B$11,Paramètres!$A$1:$I$89,3,0)*VLOOKUP('Données projet'!$B$11,Paramètres!$A$1:$I$89,5,0)</f>
        <v>232.2059999999999</v>
      </c>
      <c r="BF68" s="14">
        <f t="shared" si="37"/>
        <v>56.759404991217522</v>
      </c>
      <c r="BG68" s="22">
        <f t="shared" ref="BG68:BG131" si="61">(BE68+BF68)*0.475*44/12</f>
        <v>503.281413693037</v>
      </c>
      <c r="BH68" s="62">
        <f t="shared" ref="BH68:BH131" si="62">BG68+(AY68+AZ68)*44/12</f>
        <v>767.2246198094922</v>
      </c>
      <c r="BI68" s="62">
        <f ca="1">AVERAGE(OFFSET($BH$3,0,0,'Données projet'!$E$11+1,1))-AVERAGE(OFFSET($H$3,0,0,'Données projet'!$E$11+1,1))</f>
        <v>396.06968288200386</v>
      </c>
      <c r="BJ68" s="62">
        <f t="shared" si="38"/>
        <v>273.35778700650792</v>
      </c>
      <c r="BK68" s="16">
        <f>IF(ISNA(VLOOKUP(A68,'Données projet'!$A$87:$I$107,3,0)),0,VLOOKUP(A68,'Données projet'!$A$87:$I$107,3,0))</f>
        <v>9</v>
      </c>
      <c r="BL68" s="16">
        <f>IF(ISNA(VLOOKUP(A68,'Données projet'!$A$87:$I$107,4,0)),0,VLOOKUP(A68,'Données projet'!$A$87:$I$107,4,0))</f>
        <v>21</v>
      </c>
      <c r="BM68" s="17">
        <f>IF(ISNA(VLOOKUP(A68,'Données projet'!$A$87:$I$107,5,0)),0%,VLOOKUP(A68,'Données projet'!$A$87:$I$107,5,0)*VLOOKUP('Données projet'!$B$11,Paramètres!$A$1:$I$89,7,0))</f>
        <v>0.27950000000000003</v>
      </c>
      <c r="BN68" s="17">
        <f>IF(ISNA(VLOOKUP(A68,'Données projet'!$A$87:$I$107,6,0)),0%,VLOOKUP(A68,'Données projet'!$A$87:$I$107,6,0)*VLOOKUP('Données projet'!$B$11,Paramètres!$A$1:$I$89,7,0))</f>
        <v>0.15049999999999999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22.795229093420915</v>
      </c>
      <c r="BQ68" s="23">
        <f>EXP(-LN(2)/25)*BQ67+(1-EXP(-LN(2)/25))/(LN(2)/25)*Calculateur!BL68*Calculateur!BN68*VLOOKUP('Données projet'!$B$11,Paramètres!$A$1:$I$89,3,0)*0.475*44/12</f>
        <v>10.096043927295044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32.891273020715957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>
        <f>VLOOKUP(A69,'Données projet'!$A$35:$I$55,2,0)</f>
        <v>495</v>
      </c>
      <c r="L69" s="13">
        <f>VLOOKUP(A69,'Données projet'!$A$35:$I$55,9,0)</f>
        <v>16.625</v>
      </c>
      <c r="M69" s="13">
        <f t="array" ref="M69">INDEX(L:L,MIN(IF(ISNUMBER(L69:L265),ROW(L69:L265),"")))</f>
        <v>16.625</v>
      </c>
      <c r="N69" s="14">
        <f>IF('Données projet'!$A$36&gt;35,N68+M69-V68,IF(A69&lt;'Données projet'!$A$36,$K$205^A69,IF(A69='Données projet'!$A$36,'Données projet'!$B$36,N68+M69-V68)))</f>
        <v>494.99999999999994</v>
      </c>
      <c r="O69" s="14">
        <f>N69*VLOOKUP('Données projet'!$B$9,Paramètres!$A$1:$I$89,3,0)*VLOOKUP('Données projet'!$B$9,Paramètres!$A$1:$I$89,5,0)</f>
        <v>296.01</v>
      </c>
      <c r="P69" s="14">
        <f t="shared" ref="P69:P132" si="87">EXP(-1.0587+0.8836*LN(O69)+0.284)</f>
        <v>70.339355522692159</v>
      </c>
      <c r="Q69" s="22">
        <f t="shared" si="54"/>
        <v>638.05846086868871</v>
      </c>
      <c r="R69" s="62">
        <f t="shared" si="55"/>
        <v>902.51151998587579</v>
      </c>
      <c r="S69" s="62">
        <f ca="1">AVERAGE(OFFSET($R$3,0,0,'Données projet'!$E$9+1,1))-AVERAGE(OFFSET($H$3,0,0,'Données projet'!$E$9+1,1))</f>
        <v>394.69391436029986</v>
      </c>
      <c r="T69" s="62">
        <f t="shared" ref="T69:T132" si="88">$T$3</f>
        <v>311.37245656657353</v>
      </c>
      <c r="U69" s="16">
        <f>IF(ISNA(VLOOKUP(A69,'Données projet'!$A$35:$I$55,3,0)),0,VLOOKUP(A69,'Données projet'!$A$35:$I$55,3,0))</f>
        <v>9</v>
      </c>
      <c r="V69" s="16">
        <f>IF(ISNA(VLOOKUP(A69,'Données projet'!$A$35:$I$55,4,0)),0,VLOOKUP(A69,'Données projet'!$A$35:$I$55,4,0))</f>
        <v>65</v>
      </c>
      <c r="W69" s="17">
        <f>IF(ISNA(VLOOKUP(A69,'Données projet'!$A$35:$I$55,5,0)),0%,VLOOKUP(A69,'Données projet'!$A$35:$I$55,5,0)*VLOOKUP('Données projet'!$B$9,Paramètres!$A$1:$I$89,7,0))</f>
        <v>0.38250000000000001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0.15</v>
      </c>
      <c r="Z69" s="23">
        <f>EXP(-LN(2)/35)*Z68+(1-EXP(-LN(2)/35))/(LN(2)/35)*V69*W69*VLOOKUP('Données projet'!$B$9,Paramètres!$A$1:$I$89,3,0)*0.475*44/12</f>
        <v>73.11224720755952</v>
      </c>
      <c r="AA69" s="23">
        <f>EXP(-LN(2)/25)*AA68+(1-EXP(-LN(2)/25))/(LN(2)/25)*Calculateur!V69*Calculateur!X69*VLOOKUP('Données projet'!$B$9,Paramètres!$A$1:$I$89,3,0)*0.475*44/12</f>
        <v>3.2919389974205919</v>
      </c>
      <c r="AB69" s="23">
        <f>EXP(-LN(2)/2)*AB68+(1-EXP(-LN(2)/2))/(LN(2)/2)*V69*Y69*VLOOKUP('Données projet'!$B$9,Paramètres!$A$1:$I$89,3,0)*0.475*44/12</f>
        <v>7.1221035224857232</v>
      </c>
      <c r="AC69" s="24">
        <f t="shared" si="57"/>
        <v>83.526289727465837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5.6843418860808015E-14</v>
      </c>
      <c r="AJ69" s="14">
        <f>AI69*VLOOKUP('Données projet'!$B$10,Paramètres!$A$1:$I$89,3,0)*VLOOKUP('Données projet'!$B$10,Paramètres!$A$1:$I$89,5,0)</f>
        <v>2.6602720026858149E-14</v>
      </c>
      <c r="AK69" s="14">
        <f t="shared" ref="AK69:AK132" si="89">EXP(-1.0587+0.8836*LN(AJ69)+0.284)</f>
        <v>4.6624771586320878E-13</v>
      </c>
      <c r="AL69" s="22">
        <f t="shared" si="58"/>
        <v>8.583811758418665E-13</v>
      </c>
      <c r="AM69" s="62">
        <f t="shared" si="59"/>
        <v>264.45305911718793</v>
      </c>
      <c r="AN69" s="62">
        <f ca="1">AVERAGE(OFFSET($AM$3,0,0,'Données projet'!$E$10+1,1))-AVERAGE(OFFSET($H$3,0,0,'Données projet'!$E$10+1,1))</f>
        <v>215.50514301701057</v>
      </c>
      <c r="AO69" s="62">
        <f t="shared" ref="AO69:AO132" si="90">$AO$3</f>
        <v>273.18950868898253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119.9804371315528</v>
      </c>
      <c r="AV69" s="23">
        <f>EXP(-LN(2)/25)*AV68+(1-EXP(-LN(2)/25))/(LN(2)/25)*Calculateur!AQ69*Calculateur!AS69*VLOOKUP('Données projet'!$B$10,Paramètres!$A$1:$I$89,3,0)*0.475*44/12</f>
        <v>2.7815815844773479</v>
      </c>
      <c r="AW69" s="23">
        <f>EXP(-LN(2)/2)*AW68+(1-EXP(-LN(2)/2))/(LN(2)/2)*AQ69*AT69*VLOOKUP('Données projet'!$B$10,Paramètres!$A$1:$I$89,3,0)*0.475*44/12</f>
        <v>3.6609499253865843</v>
      </c>
      <c r="AX69" s="23">
        <f t="shared" si="60"/>
        <v>126.42296864141674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6.8</v>
      </c>
      <c r="BD69" s="13">
        <f>IF('Données projet'!$A$88&gt;35,BD68+BC69-BL68,IF(A69&lt;'Données projet'!$A$88,$BA$205^A69,IF(A69='Données projet'!$A$88,'Données projet'!$B$88,BD68+BC69-BL68)))</f>
        <v>214.79999999999993</v>
      </c>
      <c r="BE69" s="14">
        <f>BD69*VLOOKUP('Données projet'!$B$11,Paramètres!$A$1:$I$89,3,0)*VLOOKUP('Données projet'!$B$11,Paramètres!$A$1:$I$89,5,0)</f>
        <v>217.80719999999994</v>
      </c>
      <c r="BF69" s="14">
        <f t="shared" ref="BF69:BF132" si="91">EXP(-1.0587+0.8836*LN(BE69)+0.284)</f>
        <v>53.638013973813976</v>
      </c>
      <c r="BG69" s="22">
        <f t="shared" si="61"/>
        <v>472.76708100439259</v>
      </c>
      <c r="BH69" s="62">
        <f t="shared" si="62"/>
        <v>737.22014012157967</v>
      </c>
      <c r="BI69" s="62">
        <f ca="1">AVERAGE(OFFSET($BH$3,0,0,'Données projet'!$E$11+1,1))-AVERAGE(OFFSET($H$3,0,0,'Données projet'!$E$11+1,1))</f>
        <v>396.06968288200386</v>
      </c>
      <c r="BJ69" s="62">
        <f t="shared" ref="BJ69:BJ132" si="92">$BJ$3</f>
        <v>273.35778700650792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22.348228554615801</v>
      </c>
      <c r="BQ69" s="23">
        <f>EXP(-LN(2)/25)*BQ68+(1-EXP(-LN(2)/25))/(LN(2)/25)*Calculateur!BL69*Calculateur!BN69*VLOOKUP('Données projet'!$B$11,Paramètres!$A$1:$I$89,3,0)*0.475*44/12</f>
        <v>9.8199670751752866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32.168195629791086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12.875</v>
      </c>
      <c r="N70" s="14">
        <f>IF('Données projet'!$A$36&gt;35,N69+M70-V69,IF(A70&lt;'Données projet'!$A$36,$K$205^A70,IF(A70='Données projet'!$A$36,'Données projet'!$B$36,N69+M70-V69)))</f>
        <v>442.87499999999994</v>
      </c>
      <c r="O70" s="14">
        <f>N70*VLOOKUP('Données projet'!$B$9,Paramètres!$A$1:$I$89,3,0)*VLOOKUP('Données projet'!$B$9,Paramètres!$A$1:$I$89,5,0)</f>
        <v>264.83924999999999</v>
      </c>
      <c r="P70" s="14">
        <f t="shared" si="87"/>
        <v>63.752800756768096</v>
      </c>
      <c r="Q70" s="22">
        <f t="shared" si="54"/>
        <v>572.29782173470437</v>
      </c>
      <c r="R70" s="62">
        <f t="shared" si="55"/>
        <v>837.25188904292122</v>
      </c>
      <c r="S70" s="62">
        <f ca="1">AVERAGE(OFFSET($R$3,0,0,'Données projet'!$E$9+1,1))-AVERAGE(OFFSET($H$3,0,0,'Données projet'!$E$9+1,1))</f>
        <v>394.69391436029986</v>
      </c>
      <c r="T70" s="62">
        <f t="shared" si="88"/>
        <v>311.37245656657353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71.678560633886775</v>
      </c>
      <c r="AA70" s="23">
        <f>EXP(-LN(2)/25)*AA69+(1-EXP(-LN(2)/25))/(LN(2)/25)*Calculateur!V70*Calculateur!X70*VLOOKUP('Données projet'!$B$9,Paramètres!$A$1:$I$89,3,0)*0.475*44/12</f>
        <v>3.2019207524205777</v>
      </c>
      <c r="AB70" s="23">
        <f>EXP(-LN(2)/2)*AB69+(1-EXP(-LN(2)/2))/(LN(2)/2)*V70*Y70*VLOOKUP('Données projet'!$B$9,Paramètres!$A$1:$I$89,3,0)*0.475*44/12</f>
        <v>5.0360876970622517</v>
      </c>
      <c r="AC70" s="24">
        <f t="shared" si="57"/>
        <v>79.916569083369609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5.6843418860808015E-14</v>
      </c>
      <c r="AJ70" s="14">
        <f>AI70*VLOOKUP('Données projet'!$B$10,Paramètres!$A$1:$I$89,3,0)*VLOOKUP('Données projet'!$B$10,Paramètres!$A$1:$I$89,5,0)</f>
        <v>2.6602720026858149E-14</v>
      </c>
      <c r="AK70" s="14">
        <f t="shared" si="89"/>
        <v>4.6624771586320878E-13</v>
      </c>
      <c r="AL70" s="22">
        <f t="shared" si="58"/>
        <v>8.583811758418665E-13</v>
      </c>
      <c r="AM70" s="62">
        <f t="shared" si="59"/>
        <v>264.95406730821776</v>
      </c>
      <c r="AN70" s="62">
        <f ca="1">AVERAGE(OFFSET($AM$3,0,0,'Données projet'!$E$10+1,1))-AVERAGE(OFFSET($H$3,0,0,'Données projet'!$E$10+1,1))</f>
        <v>215.50514301701057</v>
      </c>
      <c r="AO70" s="62">
        <f t="shared" si="90"/>
        <v>273.18950868898253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117.6276939402437</v>
      </c>
      <c r="AV70" s="23">
        <f>EXP(-LN(2)/25)*AV69+(1-EXP(-LN(2)/25))/(LN(2)/25)*Calculateur!AQ70*Calculateur!AS70*VLOOKUP('Données projet'!$B$10,Paramètres!$A$1:$I$89,3,0)*0.475*44/12</f>
        <v>2.7055190897727965</v>
      </c>
      <c r="AW70" s="23">
        <f>EXP(-LN(2)/2)*AW69+(1-EXP(-LN(2)/2))/(LN(2)/2)*AQ70*AT70*VLOOKUP('Données projet'!$B$10,Paramètres!$A$1:$I$89,3,0)*0.475*44/12</f>
        <v>2.5886825178252391</v>
      </c>
      <c r="AX70" s="23">
        <f t="shared" si="60"/>
        <v>122.92189554784173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6.8</v>
      </c>
      <c r="BD70" s="13">
        <f>IF('Données projet'!$A$88&gt;35,BD69+BC70-BL69,IF(A70&lt;'Données projet'!$A$88,$BA$205^A70,IF(A70='Données projet'!$A$88,'Données projet'!$B$88,BD69+BC70-BL69)))</f>
        <v>221.59999999999994</v>
      </c>
      <c r="BE70" s="14">
        <f>BD70*VLOOKUP('Données projet'!$B$11,Paramètres!$A$1:$I$89,3,0)*VLOOKUP('Données projet'!$B$11,Paramètres!$A$1:$I$89,5,0)</f>
        <v>224.70239999999995</v>
      </c>
      <c r="BF70" s="14">
        <f t="shared" si="91"/>
        <v>55.135667706678262</v>
      </c>
      <c r="BG70" s="22">
        <f t="shared" si="61"/>
        <v>487.38463458913128</v>
      </c>
      <c r="BH70" s="62">
        <f t="shared" si="62"/>
        <v>752.33870189734819</v>
      </c>
      <c r="BI70" s="62">
        <f ca="1">AVERAGE(OFFSET($BH$3,0,0,'Données projet'!$E$11+1,1))-AVERAGE(OFFSET($H$3,0,0,'Données projet'!$E$11+1,1))</f>
        <v>396.06968288200386</v>
      </c>
      <c r="BJ70" s="62">
        <f t="shared" si="92"/>
        <v>273.35778700650792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21.909993423733248</v>
      </c>
      <c r="BQ70" s="23">
        <f>EXP(-LN(2)/25)*BQ69+(1-EXP(-LN(2)/25))/(LN(2)/25)*Calculateur!BL70*Calculateur!BN70*VLOOKUP('Données projet'!$B$11,Paramètres!$A$1:$I$89,3,0)*0.475*44/12</f>
        <v>9.5514395590949945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31.461432982828242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12.875</v>
      </c>
      <c r="N71" s="14">
        <f>IF('Données projet'!$A$36&gt;35,N70+M71-V70,IF(A71&lt;'Données projet'!$A$36,$K$205^A71,IF(A71='Données projet'!$A$36,'Données projet'!$B$36,N70+M71-V70)))</f>
        <v>455.74999999999994</v>
      </c>
      <c r="O71" s="14">
        <f>N71*VLOOKUP('Données projet'!$B$9,Paramètres!$A$1:$I$89,3,0)*VLOOKUP('Données projet'!$B$9,Paramètres!$A$1:$I$89,5,0)</f>
        <v>272.5385</v>
      </c>
      <c r="P71" s="14">
        <f t="shared" si="87"/>
        <v>65.387709293034902</v>
      </c>
      <c r="Q71" s="22">
        <f t="shared" si="54"/>
        <v>588.55481451870241</v>
      </c>
      <c r="R71" s="62">
        <f t="shared" si="55"/>
        <v>854.00119864592125</v>
      </c>
      <c r="S71" s="62">
        <f ca="1">AVERAGE(OFFSET($R$3,0,0,'Données projet'!$E$9+1,1))-AVERAGE(OFFSET($H$3,0,0,'Données projet'!$E$9+1,1))</f>
        <v>394.69391436029986</v>
      </c>
      <c r="T71" s="62">
        <f t="shared" si="88"/>
        <v>311.37245656657353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70.272987779461289</v>
      </c>
      <c r="AA71" s="23">
        <f>EXP(-LN(2)/25)*AA70+(1-EXP(-LN(2)/25))/(LN(2)/25)*Calculateur!V71*Calculateur!X71*VLOOKUP('Données projet'!$B$9,Paramètres!$A$1:$I$89,3,0)*0.475*44/12</f>
        <v>3.1143640610639429</v>
      </c>
      <c r="AB71" s="23">
        <f>EXP(-LN(2)/2)*AB70+(1-EXP(-LN(2)/2))/(LN(2)/2)*V71*Y71*VLOOKUP('Données projet'!$B$9,Paramètres!$A$1:$I$89,3,0)*0.475*44/12</f>
        <v>3.561051761242862</v>
      </c>
      <c r="AC71" s="24">
        <f t="shared" si="57"/>
        <v>76.948403601768092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5.6843418860808015E-14</v>
      </c>
      <c r="AJ71" s="14">
        <f>AI71*VLOOKUP('Données projet'!$B$10,Paramètres!$A$1:$I$89,3,0)*VLOOKUP('Données projet'!$B$10,Paramètres!$A$1:$I$89,5,0)</f>
        <v>2.6602720026858149E-14</v>
      </c>
      <c r="AK71" s="14">
        <f t="shared" si="89"/>
        <v>4.6624771586320878E-13</v>
      </c>
      <c r="AL71" s="22">
        <f t="shared" si="58"/>
        <v>8.583811758418665E-13</v>
      </c>
      <c r="AM71" s="62">
        <f t="shared" si="59"/>
        <v>265.44638412721969</v>
      </c>
      <c r="AN71" s="62">
        <f ca="1">AVERAGE(OFFSET($AM$3,0,0,'Données projet'!$E$10+1,1))-AVERAGE(OFFSET($H$3,0,0,'Données projet'!$E$10+1,1))</f>
        <v>215.50514301701057</v>
      </c>
      <c r="AO71" s="62">
        <f t="shared" si="90"/>
        <v>273.18950868898253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115.32108660788451</v>
      </c>
      <c r="AV71" s="23">
        <f>EXP(-LN(2)/25)*AV70+(1-EXP(-LN(2)/25))/(LN(2)/25)*Calculateur!AQ71*Calculateur!AS71*VLOOKUP('Données projet'!$B$10,Paramètres!$A$1:$I$89,3,0)*0.475*44/12</f>
        <v>2.6315365279858942</v>
      </c>
      <c r="AW71" s="23">
        <f>EXP(-LN(2)/2)*AW70+(1-EXP(-LN(2)/2))/(LN(2)/2)*AQ71*AT71*VLOOKUP('Données projet'!$B$10,Paramètres!$A$1:$I$89,3,0)*0.475*44/12</f>
        <v>1.8304749626932924</v>
      </c>
      <c r="AX71" s="23">
        <f t="shared" si="60"/>
        <v>119.7830980985637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6.8</v>
      </c>
      <c r="BD71" s="13">
        <f>IF('Données projet'!$A$88&gt;35,BD70+BC71-BL70,IF(A71&lt;'Données projet'!$A$88,$BA$205^A71,IF(A71='Données projet'!$A$88,'Données projet'!$B$88,BD70+BC71-BL70)))</f>
        <v>228.39999999999995</v>
      </c>
      <c r="BE71" s="14">
        <f>BD71*VLOOKUP('Données projet'!$B$11,Paramètres!$A$1:$I$89,3,0)*VLOOKUP('Données projet'!$B$11,Paramètres!$A$1:$I$89,5,0)</f>
        <v>231.59759999999997</v>
      </c>
      <c r="BF71" s="14">
        <f t="shared" si="91"/>
        <v>56.627980714948151</v>
      </c>
      <c r="BG71" s="22">
        <f t="shared" si="61"/>
        <v>501.99288641186791</v>
      </c>
      <c r="BH71" s="62">
        <f t="shared" si="62"/>
        <v>767.43927053908669</v>
      </c>
      <c r="BI71" s="62">
        <f ca="1">AVERAGE(OFFSET($BH$3,0,0,'Données projet'!$E$11+1,1))-AVERAGE(OFFSET($H$3,0,0,'Données projet'!$E$11+1,1))</f>
        <v>396.06968288200386</v>
      </c>
      <c r="BJ71" s="62">
        <f t="shared" si="92"/>
        <v>273.35778700650792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21.480351816470264</v>
      </c>
      <c r="BQ71" s="23">
        <f>EXP(-LN(2)/25)*BQ70+(1-EXP(-LN(2)/25))/(LN(2)/25)*Calculateur!BL71*Calculateur!BN71*VLOOKUP('Données projet'!$B$11,Paramètres!$A$1:$I$89,3,0)*0.475*44/12</f>
        <v>9.2902549420631662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30.770606758533432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12.875</v>
      </c>
      <c r="N72" s="14">
        <f>IF('Données projet'!$A$36&gt;35,N71+M72-V71,IF(A72&lt;'Données projet'!$A$36,$K$205^A72,IF(A72='Données projet'!$A$36,'Données projet'!$B$36,N71+M72-V71)))</f>
        <v>468.62499999999994</v>
      </c>
      <c r="O72" s="14">
        <f>N72*VLOOKUP('Données projet'!$B$9,Paramètres!$A$1:$I$89,3,0)*VLOOKUP('Données projet'!$B$9,Paramètres!$A$1:$I$89,5,0)</f>
        <v>280.23775000000001</v>
      </c>
      <c r="P72" s="14">
        <f t="shared" si="87"/>
        <v>67.017249808465152</v>
      </c>
      <c r="Q72" s="22">
        <f t="shared" si="54"/>
        <v>604.80245799974352</v>
      </c>
      <c r="R72" s="62">
        <f t="shared" si="55"/>
        <v>870.73261834981008</v>
      </c>
      <c r="S72" s="62">
        <f ca="1">AVERAGE(OFFSET($R$3,0,0,'Données projet'!$E$9+1,1))-AVERAGE(OFFSET($H$3,0,0,'Données projet'!$E$9+1,1))</f>
        <v>394.69391436029986</v>
      </c>
      <c r="T72" s="62">
        <f t="shared" si="88"/>
        <v>311.37245656657353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68.894977351396292</v>
      </c>
      <c r="AA72" s="23">
        <f>EXP(-LN(2)/25)*AA71+(1-EXP(-LN(2)/25))/(LN(2)/25)*Calculateur!V72*Calculateur!X72*VLOOKUP('Données projet'!$B$9,Paramètres!$A$1:$I$89,3,0)*0.475*44/12</f>
        <v>3.0292016120368612</v>
      </c>
      <c r="AB72" s="23">
        <f>EXP(-LN(2)/2)*AB71+(1-EXP(-LN(2)/2))/(LN(2)/2)*V72*Y72*VLOOKUP('Données projet'!$B$9,Paramètres!$A$1:$I$89,3,0)*0.475*44/12</f>
        <v>2.5180438485311263</v>
      </c>
      <c r="AC72" s="24">
        <f t="shared" si="57"/>
        <v>74.442222811964271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5.6843418860808015E-14</v>
      </c>
      <c r="AJ72" s="14">
        <f>AI72*VLOOKUP('Données projet'!$B$10,Paramètres!$A$1:$I$89,3,0)*VLOOKUP('Données projet'!$B$10,Paramètres!$A$1:$I$89,5,0)</f>
        <v>2.6602720026858149E-14</v>
      </c>
      <c r="AK72" s="14">
        <f t="shared" si="89"/>
        <v>4.6624771586320878E-13</v>
      </c>
      <c r="AL72" s="22">
        <f t="shared" si="58"/>
        <v>8.583811758418665E-13</v>
      </c>
      <c r="AM72" s="62">
        <f t="shared" si="59"/>
        <v>265.93016035006741</v>
      </c>
      <c r="AN72" s="62">
        <f ca="1">AVERAGE(OFFSET($AM$3,0,0,'Données projet'!$E$10+1,1))-AVERAGE(OFFSET($H$3,0,0,'Données projet'!$E$10+1,1))</f>
        <v>215.50514301701057</v>
      </c>
      <c r="AO72" s="62">
        <f t="shared" si="90"/>
        <v>273.18950868898253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113.05971043842133</v>
      </c>
      <c r="AV72" s="23">
        <f>EXP(-LN(2)/25)*AV71+(1-EXP(-LN(2)/25))/(LN(2)/25)*Calculateur!AQ72*Calculateur!AS72*VLOOKUP('Données projet'!$B$10,Paramètres!$A$1:$I$89,3,0)*0.475*44/12</f>
        <v>2.5595770232416282</v>
      </c>
      <c r="AW72" s="23">
        <f>EXP(-LN(2)/2)*AW71+(1-EXP(-LN(2)/2))/(LN(2)/2)*AQ72*AT72*VLOOKUP('Données projet'!$B$10,Paramètres!$A$1:$I$89,3,0)*0.475*44/12</f>
        <v>1.2943412589126198</v>
      </c>
      <c r="AX72" s="23">
        <f t="shared" si="60"/>
        <v>116.91362872057559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6.8</v>
      </c>
      <c r="BD72" s="13">
        <f>IF('Données projet'!$A$88&gt;35,BD71+BC72-BL71,IF(A72&lt;'Données projet'!$A$88,$BA$205^A72,IF(A72='Données projet'!$A$88,'Données projet'!$B$88,BD71+BC72-BL71)))</f>
        <v>235.19999999999996</v>
      </c>
      <c r="BE72" s="14">
        <f>BD72*VLOOKUP('Données projet'!$B$11,Paramètres!$A$1:$I$89,3,0)*VLOOKUP('Données projet'!$B$11,Paramètres!$A$1:$I$89,5,0)</f>
        <v>238.49279999999996</v>
      </c>
      <c r="BF72" s="14">
        <f t="shared" si="91"/>
        <v>58.115130258576542</v>
      </c>
      <c r="BG72" s="22">
        <f t="shared" si="61"/>
        <v>516.59214520035414</v>
      </c>
      <c r="BH72" s="62">
        <f t="shared" si="62"/>
        <v>782.5223055504207</v>
      </c>
      <c r="BI72" s="62">
        <f ca="1">AVERAGE(OFFSET($BH$3,0,0,'Données projet'!$E$11+1,1))-AVERAGE(OFFSET($H$3,0,0,'Données projet'!$E$11+1,1))</f>
        <v>396.06968288200386</v>
      </c>
      <c r="BJ72" s="62">
        <f t="shared" si="92"/>
        <v>273.35778700650792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21.059135219070203</v>
      </c>
      <c r="BQ72" s="23">
        <f>EXP(-LN(2)/25)*BQ71+(1-EXP(-LN(2)/25))/(LN(2)/25)*Calculateur!BL72*Calculateur!BN72*VLOOKUP('Données projet'!$B$11,Paramètres!$A$1:$I$89,3,0)*0.475*44/12</f>
        <v>9.036212432119175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30.095347651189378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12.875</v>
      </c>
      <c r="N73" s="14">
        <f>IF('Données projet'!$A$36&gt;35,N72+M73-V72,IF(A73&lt;'Données projet'!$A$36,$K$205^A73,IF(A73='Données projet'!$A$36,'Données projet'!$B$36,N72+M73-V72)))</f>
        <v>481.49999999999994</v>
      </c>
      <c r="O73" s="14">
        <f>N73*VLOOKUP('Données projet'!$B$9,Paramètres!$A$1:$I$89,3,0)*VLOOKUP('Données projet'!$B$9,Paramètres!$A$1:$I$89,5,0)</f>
        <v>287.93700000000001</v>
      </c>
      <c r="P73" s="14">
        <f t="shared" si="87"/>
        <v>68.641586729718156</v>
      </c>
      <c r="Q73" s="22">
        <f t="shared" si="54"/>
        <v>621.04103855425899</v>
      </c>
      <c r="R73" s="62">
        <f t="shared" si="55"/>
        <v>887.44658269126853</v>
      </c>
      <c r="S73" s="62">
        <f ca="1">AVERAGE(OFFSET($R$3,0,0,'Données projet'!$E$9+1,1))-AVERAGE(OFFSET($H$3,0,0,'Données projet'!$E$9+1,1))</f>
        <v>394.69391436029986</v>
      </c>
      <c r="T73" s="62">
        <f t="shared" si="88"/>
        <v>311.37245656657353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67.543988867322284</v>
      </c>
      <c r="AA73" s="23">
        <f>EXP(-LN(2)/25)*AA72+(1-EXP(-LN(2)/25))/(LN(2)/25)*Calculateur!V73*Calculateur!X73*VLOOKUP('Données projet'!$B$9,Paramètres!$A$1:$I$89,3,0)*0.475*44/12</f>
        <v>2.9463679346569238</v>
      </c>
      <c r="AB73" s="23">
        <f>EXP(-LN(2)/2)*AB72+(1-EXP(-LN(2)/2))/(LN(2)/2)*V73*Y73*VLOOKUP('Données projet'!$B$9,Paramètres!$A$1:$I$89,3,0)*0.475*44/12</f>
        <v>1.7805258806214312</v>
      </c>
      <c r="AC73" s="24">
        <f t="shared" si="57"/>
        <v>72.270882682600629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5.6843418860808015E-14</v>
      </c>
      <c r="AJ73" s="14">
        <f>AI73*VLOOKUP('Données projet'!$B$10,Paramètres!$A$1:$I$89,3,0)*VLOOKUP('Données projet'!$B$10,Paramètres!$A$1:$I$89,5,0)</f>
        <v>2.6602720026858149E-14</v>
      </c>
      <c r="AK73" s="14">
        <f t="shared" si="89"/>
        <v>4.6624771586320878E-13</v>
      </c>
      <c r="AL73" s="22">
        <f t="shared" si="58"/>
        <v>8.583811758418665E-13</v>
      </c>
      <c r="AM73" s="62">
        <f t="shared" si="59"/>
        <v>266.40554413701034</v>
      </c>
      <c r="AN73" s="62">
        <f ca="1">AVERAGE(OFFSET($AM$3,0,0,'Données projet'!$E$10+1,1))-AVERAGE(OFFSET($H$3,0,0,'Données projet'!$E$10+1,1))</f>
        <v>215.50514301701057</v>
      </c>
      <c r="AO73" s="62">
        <f t="shared" si="90"/>
        <v>273.18950868898253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110.84267847633807</v>
      </c>
      <c r="AV73" s="23">
        <f>EXP(-LN(2)/25)*AV72+(1-EXP(-LN(2)/25))/(LN(2)/25)*Calculateur!AQ73*Calculateur!AS73*VLOOKUP('Données projet'!$B$10,Paramètres!$A$1:$I$89,3,0)*0.475*44/12</f>
        <v>2.4895852549387802</v>
      </c>
      <c r="AW73" s="23">
        <f>EXP(-LN(2)/2)*AW72+(1-EXP(-LN(2)/2))/(LN(2)/2)*AQ73*AT73*VLOOKUP('Données projet'!$B$10,Paramètres!$A$1:$I$89,3,0)*0.475*44/12</f>
        <v>0.91523748134664629</v>
      </c>
      <c r="AX73" s="23">
        <f t="shared" si="60"/>
        <v>114.24750121262349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242</v>
      </c>
      <c r="BB73" s="13">
        <f>VLOOKUP(A73,'Données projet'!$A$87:$I$107,9,0)</f>
        <v>6.8</v>
      </c>
      <c r="BC73" s="13">
        <f t="array" ref="BC73">INDEX(BB:BB,MIN(IF(ISNUMBER(BB73:BB269),ROW(BB73:BB269),"")))</f>
        <v>6.8</v>
      </c>
      <c r="BD73" s="13">
        <f>IF('Données projet'!$A$88&gt;35,BD72+BC73-BL72,IF(A73&lt;'Données projet'!$A$88,$BA$205^A73,IF(A73='Données projet'!$A$88,'Données projet'!$B$88,BD72+BC73-BL72)))</f>
        <v>241.99999999999997</v>
      </c>
      <c r="BE73" s="14">
        <f>BD73*VLOOKUP('Données projet'!$B$11,Paramètres!$A$1:$I$89,3,0)*VLOOKUP('Données projet'!$B$11,Paramètres!$A$1:$I$89,5,0)</f>
        <v>245.38799999999998</v>
      </c>
      <c r="BF73" s="14">
        <f t="shared" si="91"/>
        <v>59.597282764919569</v>
      </c>
      <c r="BG73" s="22">
        <f t="shared" si="61"/>
        <v>531.18270081556818</v>
      </c>
      <c r="BH73" s="62">
        <f t="shared" si="62"/>
        <v>797.58824495257772</v>
      </c>
      <c r="BI73" s="62">
        <f ca="1">AVERAGE(OFFSET($BH$3,0,0,'Données projet'!$E$11+1,1))-AVERAGE(OFFSET($H$3,0,0,'Données projet'!$E$11+1,1))</f>
        <v>396.06968288200386</v>
      </c>
      <c r="BJ73" s="62">
        <f t="shared" si="92"/>
        <v>273.35778700650792</v>
      </c>
      <c r="BK73" s="16">
        <f>IF(ISNA(VLOOKUP(A73,'Données projet'!$A$87:$I$107,3,0)),0,VLOOKUP(A73,'Données projet'!$A$87:$I$107,3,0))</f>
        <v>10</v>
      </c>
      <c r="BL73" s="16">
        <f>IF(ISNA(VLOOKUP(A73,'Données projet'!$A$87:$I$107,4,0)),0,VLOOKUP(A73,'Données projet'!$A$87:$I$107,4,0))</f>
        <v>21</v>
      </c>
      <c r="BM73" s="17">
        <f>IF(ISNA(VLOOKUP(A73,'Données projet'!$A$87:$I$107,5,0)),0%,VLOOKUP(A73,'Données projet'!$A$87:$I$107,5,0)*VLOOKUP('Données projet'!$B$11,Paramètres!$A$1:$I$89,7,0))</f>
        <v>0.27950000000000003</v>
      </c>
      <c r="BN73" s="17">
        <f>IF(ISNA(VLOOKUP(A73,'Données projet'!$A$87:$I$107,6,0)),0%,VLOOKUP(A73,'Données projet'!$A$87:$I$107,6,0)*VLOOKUP('Données projet'!$B$11,Paramètres!$A$1:$I$89,7,0))</f>
        <v>0.15049999999999999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27.225576632394414</v>
      </c>
      <c r="BQ73" s="23">
        <f>EXP(-LN(2)/25)*BQ72+(1-EXP(-LN(2)/25))/(LN(2)/25)*Calculateur!BL73*Calculateur!BN73*VLOOKUP('Données projet'!$B$11,Paramètres!$A$1:$I$89,3,0)*0.475*44/12</f>
        <v>12.317920442373525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39.543497074767942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12.875</v>
      </c>
      <c r="N74" s="14">
        <f>IF('Données projet'!$A$36&gt;35,N73+M74-V73,IF(A74&lt;'Données projet'!$A$36,$K$205^A74,IF(A74='Données projet'!$A$36,'Données projet'!$B$36,N73+M74-V73)))</f>
        <v>494.37499999999994</v>
      </c>
      <c r="O74" s="14">
        <f>N74*VLOOKUP('Données projet'!$B$9,Paramètres!$A$1:$I$89,3,0)*VLOOKUP('Données projet'!$B$9,Paramètres!$A$1:$I$89,5,0)</f>
        <v>295.63625000000002</v>
      </c>
      <c r="P74" s="14">
        <f t="shared" si="87"/>
        <v>70.260875189476423</v>
      </c>
      <c r="Q74" s="22">
        <f t="shared" si="54"/>
        <v>637.27082637167155</v>
      </c>
      <c r="R74" s="62">
        <f t="shared" si="55"/>
        <v>904.14350744971944</v>
      </c>
      <c r="S74" s="62">
        <f ca="1">AVERAGE(OFFSET($R$3,0,0,'Données projet'!$E$9+1,1))-AVERAGE(OFFSET($H$3,0,0,'Données projet'!$E$9+1,1))</f>
        <v>394.69391436029986</v>
      </c>
      <c r="T74" s="62">
        <f t="shared" si="88"/>
        <v>311.37245656657353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66.219492443399361</v>
      </c>
      <c r="AA74" s="23">
        <f>EXP(-LN(2)/25)*AA73+(1-EXP(-LN(2)/25))/(LN(2)/25)*Calculateur!V74*Calculateur!X74*VLOOKUP('Données projet'!$B$9,Paramètres!$A$1:$I$89,3,0)*0.475*44/12</f>
        <v>2.8657993485409747</v>
      </c>
      <c r="AB74" s="23">
        <f>EXP(-LN(2)/2)*AB73+(1-EXP(-LN(2)/2))/(LN(2)/2)*V74*Y74*VLOOKUP('Données projet'!$B$9,Paramètres!$A$1:$I$89,3,0)*0.475*44/12</f>
        <v>1.2590219242655634</v>
      </c>
      <c r="AC74" s="24">
        <f t="shared" si="57"/>
        <v>70.344313716205903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5.6843418860808015E-14</v>
      </c>
      <c r="AJ74" s="14">
        <f>AI74*VLOOKUP('Données projet'!$B$10,Paramètres!$A$1:$I$89,3,0)*VLOOKUP('Données projet'!$B$10,Paramètres!$A$1:$I$89,5,0)</f>
        <v>2.6602720026858149E-14</v>
      </c>
      <c r="AK74" s="14">
        <f t="shared" si="89"/>
        <v>4.6624771586320878E-13</v>
      </c>
      <c r="AL74" s="22">
        <f t="shared" si="58"/>
        <v>8.583811758418665E-13</v>
      </c>
      <c r="AM74" s="62">
        <f t="shared" si="59"/>
        <v>266.8726810780488</v>
      </c>
      <c r="AN74" s="62">
        <f ca="1">AVERAGE(OFFSET($AM$3,0,0,'Données projet'!$E$10+1,1))-AVERAGE(OFFSET($H$3,0,0,'Données projet'!$E$10+1,1))</f>
        <v>215.50514301701057</v>
      </c>
      <c r="AO74" s="62">
        <f t="shared" si="90"/>
        <v>273.18950868898253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108.66912115877527</v>
      </c>
      <c r="AV74" s="23">
        <f>EXP(-LN(2)/25)*AV73+(1-EXP(-LN(2)/25))/(LN(2)/25)*Calculateur!AQ74*Calculateur!AS74*VLOOKUP('Données projet'!$B$10,Paramètres!$A$1:$I$89,3,0)*0.475*44/12</f>
        <v>2.4215074152208809</v>
      </c>
      <c r="AW74" s="23">
        <f>EXP(-LN(2)/2)*AW73+(1-EXP(-LN(2)/2))/(LN(2)/2)*AQ74*AT74*VLOOKUP('Données projet'!$B$10,Paramètres!$A$1:$I$89,3,0)*0.475*44/12</f>
        <v>0.64717062945630988</v>
      </c>
      <c r="AX74" s="23">
        <f t="shared" si="60"/>
        <v>111.73779920345247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6.2</v>
      </c>
      <c r="BD74" s="13">
        <f>IF('Données projet'!$A$88&gt;35,BD73+BC74-BL73,IF(A74&lt;'Données projet'!$A$88,$BA$205^A74,IF(A74='Données projet'!$A$88,'Données projet'!$B$88,BD73+BC74-BL73)))</f>
        <v>227.19999999999996</v>
      </c>
      <c r="BE74" s="14">
        <f>BD74*VLOOKUP('Données projet'!$B$11,Paramètres!$A$1:$I$89,3,0)*VLOOKUP('Données projet'!$B$11,Paramètres!$A$1:$I$89,5,0)</f>
        <v>230.38079999999997</v>
      </c>
      <c r="BF74" s="14">
        <f t="shared" si="91"/>
        <v>56.365011465139979</v>
      </c>
      <c r="BG74" s="22">
        <f t="shared" si="61"/>
        <v>499.41562163511867</v>
      </c>
      <c r="BH74" s="62">
        <f t="shared" si="62"/>
        <v>766.28830271316656</v>
      </c>
      <c r="BI74" s="62">
        <f ca="1">AVERAGE(OFFSET($BH$3,0,0,'Données projet'!$E$11+1,1))-AVERAGE(OFFSET($H$3,0,0,'Données projet'!$E$11+1,1))</f>
        <v>396.06968288200386</v>
      </c>
      <c r="BJ74" s="62">
        <f t="shared" si="92"/>
        <v>273.35778700650792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26.691699680595203</v>
      </c>
      <c r="BQ74" s="23">
        <f>EXP(-LN(2)/25)*BQ73+(1-EXP(-LN(2)/25))/(LN(2)/25)*Calculateur!BL74*Calculateur!BN74*VLOOKUP('Données projet'!$B$11,Paramètres!$A$1:$I$89,3,0)*0.475*44/12</f>
        <v>11.981086260105538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38.672785940700741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12.875</v>
      </c>
      <c r="N75" s="14">
        <f>IF('Données projet'!$A$36&gt;35,N74+M75-V74,IF(A75&lt;'Données projet'!$A$36,$K$205^A75,IF(A75='Données projet'!$A$36,'Données projet'!$B$36,N74+M75-V74)))</f>
        <v>507.24999999999994</v>
      </c>
      <c r="O75" s="14">
        <f>N75*VLOOKUP('Données projet'!$B$9,Paramètres!$A$1:$I$89,3,0)*VLOOKUP('Données projet'!$B$9,Paramètres!$A$1:$I$89,5,0)</f>
        <v>303.33549999999997</v>
      </c>
      <c r="P75" s="14">
        <f t="shared" si="87"/>
        <v>71.875261779950591</v>
      </c>
      <c r="Q75" s="22">
        <f t="shared" si="54"/>
        <v>653.49207676674712</v>
      </c>
      <c r="R75" s="62">
        <f t="shared" si="55"/>
        <v>920.82379100426829</v>
      </c>
      <c r="S75" s="62">
        <f ca="1">AVERAGE(OFFSET($R$3,0,0,'Données projet'!$E$9+1,1))-AVERAGE(OFFSET($H$3,0,0,'Données projet'!$E$9+1,1))</f>
        <v>394.69391436029986</v>
      </c>
      <c r="T75" s="62">
        <f t="shared" si="88"/>
        <v>311.37245656657353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64.920968586486524</v>
      </c>
      <c r="AA75" s="23">
        <f>EXP(-LN(2)/25)*AA74+(1-EXP(-LN(2)/25))/(LN(2)/25)*Calculateur!V75*Calculateur!X75*VLOOKUP('Données projet'!$B$9,Paramètres!$A$1:$I$89,3,0)*0.475*44/12</f>
        <v>2.7874339146492839</v>
      </c>
      <c r="AB75" s="23">
        <f>EXP(-LN(2)/2)*AB74+(1-EXP(-LN(2)/2))/(LN(2)/2)*V75*Y75*VLOOKUP('Données projet'!$B$9,Paramètres!$A$1:$I$89,3,0)*0.475*44/12</f>
        <v>0.89026294031071573</v>
      </c>
      <c r="AC75" s="24">
        <f t="shared" si="57"/>
        <v>68.598665441446528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5.6843418860808015E-14</v>
      </c>
      <c r="AJ75" s="14">
        <f>AI75*VLOOKUP('Données projet'!$B$10,Paramètres!$A$1:$I$89,3,0)*VLOOKUP('Données projet'!$B$10,Paramètres!$A$1:$I$89,5,0)</f>
        <v>2.6602720026858149E-14</v>
      </c>
      <c r="AK75" s="14">
        <f t="shared" si="89"/>
        <v>4.6624771586320878E-13</v>
      </c>
      <c r="AL75" s="22">
        <f t="shared" si="58"/>
        <v>8.583811758418665E-13</v>
      </c>
      <c r="AM75" s="62">
        <f t="shared" si="59"/>
        <v>267.33171423752196</v>
      </c>
      <c r="AN75" s="62">
        <f ca="1">AVERAGE(OFFSET($AM$3,0,0,'Données projet'!$E$10+1,1))-AVERAGE(OFFSET($H$3,0,0,'Données projet'!$E$10+1,1))</f>
        <v>215.50514301701057</v>
      </c>
      <c r="AO75" s="62">
        <f t="shared" si="90"/>
        <v>273.18950868898253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106.53818597447082</v>
      </c>
      <c r="AV75" s="23">
        <f>EXP(-LN(2)/25)*AV74+(1-EXP(-LN(2)/25))/(LN(2)/25)*Calculateur!AQ75*Calculateur!AS75*VLOOKUP('Données projet'!$B$10,Paramètres!$A$1:$I$89,3,0)*0.475*44/12</f>
        <v>2.3552911676101251</v>
      </c>
      <c r="AW75" s="23">
        <f>EXP(-LN(2)/2)*AW74+(1-EXP(-LN(2)/2))/(LN(2)/2)*AQ75*AT75*VLOOKUP('Données projet'!$B$10,Paramètres!$A$1:$I$89,3,0)*0.475*44/12</f>
        <v>0.45761874067332314</v>
      </c>
      <c r="AX75" s="23">
        <f t="shared" si="60"/>
        <v>109.35109588275427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6.2</v>
      </c>
      <c r="BD75" s="13">
        <f>IF('Données projet'!$A$88&gt;35,BD74+BC75-BL74,IF(A75&lt;'Données projet'!$A$88,$BA$205^A75,IF(A75='Données projet'!$A$88,'Données projet'!$B$88,BD74+BC75-BL74)))</f>
        <v>233.39999999999995</v>
      </c>
      <c r="BE75" s="14">
        <f>BD75*VLOOKUP('Données projet'!$B$11,Paramètres!$A$1:$I$89,3,0)*VLOOKUP('Données projet'!$B$11,Paramètres!$A$1:$I$89,5,0)</f>
        <v>236.66759999999996</v>
      </c>
      <c r="BF75" s="14">
        <f t="shared" si="91"/>
        <v>57.721965974560838</v>
      </c>
      <c r="BG75" s="22">
        <f t="shared" si="61"/>
        <v>512.72849407236004</v>
      </c>
      <c r="BH75" s="62">
        <f t="shared" si="62"/>
        <v>780.06020830988109</v>
      </c>
      <c r="BI75" s="62">
        <f ca="1">AVERAGE(OFFSET($BH$3,0,0,'Données projet'!$E$11+1,1))-AVERAGE(OFFSET($H$3,0,0,'Données projet'!$E$11+1,1))</f>
        <v>396.06968288200386</v>
      </c>
      <c r="BJ75" s="62">
        <f t="shared" si="92"/>
        <v>273.35778700650792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26.168291730187988</v>
      </c>
      <c r="BQ75" s="23">
        <f>EXP(-LN(2)/25)*BQ74+(1-EXP(-LN(2)/25))/(LN(2)/25)*Calculateur!BL75*Calculateur!BN75*VLOOKUP('Données projet'!$B$11,Paramètres!$A$1:$I$89,3,0)*0.475*44/12</f>
        <v>11.65346282626501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37.821754556453001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12.875</v>
      </c>
      <c r="N76" s="14">
        <f>IF('Données projet'!$A$36&gt;35,N75+M76-V75,IF(A76&lt;'Données projet'!$A$36,$K$205^A76,IF(A76='Données projet'!$A$36,'Données projet'!$B$36,N75+M76-V75)))</f>
        <v>520.125</v>
      </c>
      <c r="O76" s="14">
        <f>N76*VLOOKUP('Données projet'!$B$9,Paramètres!$A$1:$I$89,3,0)*VLOOKUP('Données projet'!$B$9,Paramètres!$A$1:$I$89,5,0)</f>
        <v>311.03475000000003</v>
      </c>
      <c r="P76" s="14">
        <f t="shared" si="87"/>
        <v>73.484885227728896</v>
      </c>
      <c r="Q76" s="22">
        <f t="shared" si="54"/>
        <v>669.70503135496119</v>
      </c>
      <c r="R76" s="62">
        <f t="shared" si="55"/>
        <v>937.48781555288292</v>
      </c>
      <c r="S76" s="62">
        <f ca="1">AVERAGE(OFFSET($R$3,0,0,'Données projet'!$E$9+1,1))-AVERAGE(OFFSET($H$3,0,0,'Données projet'!$E$9+1,1))</f>
        <v>394.69391436029986</v>
      </c>
      <c r="T76" s="62">
        <f t="shared" si="88"/>
        <v>311.37245656657353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63.647907990386393</v>
      </c>
      <c r="AA76" s="23">
        <f>EXP(-LN(2)/25)*AA75+(1-EXP(-LN(2)/25))/(LN(2)/25)*Calculateur!V76*Calculateur!X76*VLOOKUP('Données projet'!$B$9,Paramètres!$A$1:$I$89,3,0)*0.475*44/12</f>
        <v>2.7112113876684205</v>
      </c>
      <c r="AB76" s="23">
        <f>EXP(-LN(2)/2)*AB75+(1-EXP(-LN(2)/2))/(LN(2)/2)*V76*Y76*VLOOKUP('Données projet'!$B$9,Paramètres!$A$1:$I$89,3,0)*0.475*44/12</f>
        <v>0.62951096213278168</v>
      </c>
      <c r="AC76" s="24">
        <f t="shared" si="57"/>
        <v>66.988630340187598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5.6843418860808015E-14</v>
      </c>
      <c r="AJ76" s="14">
        <f>AI76*VLOOKUP('Données projet'!$B$10,Paramètres!$A$1:$I$89,3,0)*VLOOKUP('Données projet'!$B$10,Paramètres!$A$1:$I$89,5,0)</f>
        <v>2.6602720026858149E-14</v>
      </c>
      <c r="AK76" s="14">
        <f t="shared" si="89"/>
        <v>4.6624771586320878E-13</v>
      </c>
      <c r="AL76" s="22">
        <f t="shared" si="58"/>
        <v>8.583811758418665E-13</v>
      </c>
      <c r="AM76" s="62">
        <f t="shared" si="59"/>
        <v>267.78278419792264</v>
      </c>
      <c r="AN76" s="62">
        <f ca="1">AVERAGE(OFFSET($AM$3,0,0,'Données projet'!$E$10+1,1))-AVERAGE(OFFSET($H$3,0,0,'Données projet'!$E$10+1,1))</f>
        <v>215.50514301701057</v>
      </c>
      <c r="AO76" s="62">
        <f t="shared" si="90"/>
        <v>273.18950868898253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104.44903712938847</v>
      </c>
      <c r="AV76" s="23">
        <f>EXP(-LN(2)/25)*AV75+(1-EXP(-LN(2)/25))/(LN(2)/25)*Calculateur!AQ76*Calculateur!AS76*VLOOKUP('Données projet'!$B$10,Paramètres!$A$1:$I$89,3,0)*0.475*44/12</f>
        <v>2.2908856067724468</v>
      </c>
      <c r="AW76" s="23">
        <f>EXP(-LN(2)/2)*AW75+(1-EXP(-LN(2)/2))/(LN(2)/2)*AQ76*AT76*VLOOKUP('Données projet'!$B$10,Paramètres!$A$1:$I$89,3,0)*0.475*44/12</f>
        <v>0.32358531472815494</v>
      </c>
      <c r="AX76" s="23">
        <f t="shared" si="60"/>
        <v>107.06350805088907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6.2</v>
      </c>
      <c r="BD76" s="13">
        <f>IF('Données projet'!$A$88&gt;35,BD75+BC76-BL75,IF(A76&lt;'Données projet'!$A$88,$BA$205^A76,IF(A76='Données projet'!$A$88,'Données projet'!$B$88,BD75+BC76-BL75)))</f>
        <v>239.59999999999994</v>
      </c>
      <c r="BE76" s="14">
        <f>BD76*VLOOKUP('Données projet'!$B$11,Paramètres!$A$1:$I$89,3,0)*VLOOKUP('Données projet'!$B$11,Paramètres!$A$1:$I$89,5,0)</f>
        <v>242.95439999999994</v>
      </c>
      <c r="BF76" s="14">
        <f t="shared" si="91"/>
        <v>59.074730698078945</v>
      </c>
      <c r="BG76" s="22">
        <f t="shared" si="61"/>
        <v>526.034069299154</v>
      </c>
      <c r="BH76" s="62">
        <f t="shared" si="62"/>
        <v>793.81685349707573</v>
      </c>
      <c r="BI76" s="62">
        <f ca="1">AVERAGE(OFFSET($BH$3,0,0,'Données projet'!$E$11+1,1))-AVERAGE(OFFSET($H$3,0,0,'Données projet'!$E$11+1,1))</f>
        <v>396.06968288200386</v>
      </c>
      <c r="BJ76" s="62">
        <f t="shared" si="92"/>
        <v>273.35778700650792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25.655147490440932</v>
      </c>
      <c r="BQ76" s="23">
        <f>EXP(-LN(2)/25)*BQ75+(1-EXP(-LN(2)/25))/(LN(2)/25)*Calculateur!BL76*Calculateur!BN76*VLOOKUP('Données projet'!$B$11,Paramètres!$A$1:$I$89,3,0)*0.475*44/12</f>
        <v>11.334798272451817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36.989945762892745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>
        <f>VLOOKUP(A77,'Données projet'!$A$35:$I$55,2,0)</f>
        <v>533</v>
      </c>
      <c r="L77" s="13">
        <f>VLOOKUP(A77,'Données projet'!$A$35:$I$55,9,0)</f>
        <v>12.875</v>
      </c>
      <c r="M77" s="13">
        <f t="array" ref="M77">INDEX(L:L,MIN(IF(ISNUMBER(L77:L273),ROW(L77:L273),"")))</f>
        <v>12.875</v>
      </c>
      <c r="N77" s="14">
        <f>IF('Données projet'!$A$36&gt;35,N76+M77-V76,IF(A77&lt;'Données projet'!$A$36,$K$205^A77,IF(A77='Données projet'!$A$36,'Données projet'!$B$36,N76+M77-V76)))</f>
        <v>533</v>
      </c>
      <c r="O77" s="14">
        <f>N77*VLOOKUP('Données projet'!$B$9,Paramètres!$A$1:$I$89,3,0)*VLOOKUP('Données projet'!$B$9,Paramètres!$A$1:$I$89,5,0)</f>
        <v>318.73400000000004</v>
      </c>
      <c r="P77" s="14">
        <f t="shared" si="87"/>
        <v>75.089876999925679</v>
      </c>
      <c r="Q77" s="22">
        <f t="shared" si="54"/>
        <v>685.90991910820378</v>
      </c>
      <c r="R77" s="62">
        <f t="shared" si="55"/>
        <v>954.13594821115464</v>
      </c>
      <c r="S77" s="62">
        <f ca="1">AVERAGE(OFFSET($R$3,0,0,'Données projet'!$E$9+1,1))-AVERAGE(OFFSET($H$3,0,0,'Données projet'!$E$9+1,1))</f>
        <v>394.69391436029986</v>
      </c>
      <c r="T77" s="62">
        <f t="shared" si="88"/>
        <v>311.37245656657353</v>
      </c>
      <c r="U77" s="16">
        <f>IF(ISNA(VLOOKUP(A77,'Données projet'!$A$35:$I$55,3,0)),0,VLOOKUP(A77,'Données projet'!$A$35:$I$55,3,0))</f>
        <v>10</v>
      </c>
      <c r="V77" s="16">
        <f>IF(ISNA(VLOOKUP(A77,'Données projet'!$A$35:$I$55,4,0)),0,VLOOKUP(A77,'Données projet'!$A$35:$I$55,4,0))</f>
        <v>37</v>
      </c>
      <c r="W77" s="17">
        <f>IF(ISNA(VLOOKUP(A77,'Données projet'!$A$35:$I$55,5,0)),0%,VLOOKUP(A77,'Données projet'!$A$35:$I$55,5,0)*VLOOKUP('Données projet'!$B$9,Paramètres!$A$1:$I$89,7,0))</f>
        <v>0.38250000000000001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0.15</v>
      </c>
      <c r="Z77" s="23">
        <f>EXP(-LN(2)/35)*Z76+(1-EXP(-LN(2)/35))/(LN(2)/35)*V77*W77*VLOOKUP('Données projet'!$B$9,Paramètres!$A$1:$I$89,3,0)*0.475*44/12</f>
        <v>73.626785002539137</v>
      </c>
      <c r="AA77" s="23">
        <f>EXP(-LN(2)/25)*AA76+(1-EXP(-LN(2)/25))/(LN(2)/25)*Calculateur!V77*Calculateur!X77*VLOOKUP('Données projet'!$B$9,Paramètres!$A$1:$I$89,3,0)*0.475*44/12</f>
        <v>2.6370731696962171</v>
      </c>
      <c r="AB77" s="23">
        <f>EXP(-LN(2)/2)*AB76+(1-EXP(-LN(2)/2))/(LN(2)/2)*V77*Y77*VLOOKUP('Données projet'!$B$9,Paramètres!$A$1:$I$89,3,0)*0.475*44/12</f>
        <v>4.2028972424159452</v>
      </c>
      <c r="AC77" s="24">
        <f t="shared" si="57"/>
        <v>80.466755414651303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5.6843418860808015E-14</v>
      </c>
      <c r="AJ77" s="14">
        <f>AI77*VLOOKUP('Données projet'!$B$10,Paramètres!$A$1:$I$89,3,0)*VLOOKUP('Données projet'!$B$10,Paramètres!$A$1:$I$89,5,0)</f>
        <v>2.6602720026858149E-14</v>
      </c>
      <c r="AK77" s="14">
        <f t="shared" si="89"/>
        <v>4.6624771586320878E-13</v>
      </c>
      <c r="AL77" s="22">
        <f t="shared" si="58"/>
        <v>8.583811758418665E-13</v>
      </c>
      <c r="AM77" s="62">
        <f t="shared" si="59"/>
        <v>268.22602910295171</v>
      </c>
      <c r="AN77" s="62">
        <f ca="1">AVERAGE(OFFSET($AM$3,0,0,'Données projet'!$E$10+1,1))-AVERAGE(OFFSET($H$3,0,0,'Données projet'!$E$10+1,1))</f>
        <v>215.50514301701057</v>
      </c>
      <c r="AO77" s="62">
        <f t="shared" si="90"/>
        <v>273.18950868898253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102.4008552189032</v>
      </c>
      <c r="AV77" s="23">
        <f>EXP(-LN(2)/25)*AV76+(1-EXP(-LN(2)/25))/(LN(2)/25)*Calculateur!AQ77*Calculateur!AS77*VLOOKUP('Données projet'!$B$10,Paramètres!$A$1:$I$89,3,0)*0.475*44/12</f>
        <v>2.2282412193828161</v>
      </c>
      <c r="AW77" s="23">
        <f>EXP(-LN(2)/2)*AW76+(1-EXP(-LN(2)/2))/(LN(2)/2)*AQ77*AT77*VLOOKUP('Données projet'!$B$10,Paramètres!$A$1:$I$89,3,0)*0.475*44/12</f>
        <v>0.22880937033666157</v>
      </c>
      <c r="AX77" s="23">
        <f t="shared" si="60"/>
        <v>104.85790580862268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6.2</v>
      </c>
      <c r="BD77" s="13">
        <f>IF('Données projet'!$A$88&gt;35,BD76+BC77-BL76,IF(A77&lt;'Données projet'!$A$88,$BA$205^A77,IF(A77='Données projet'!$A$88,'Données projet'!$B$88,BD76+BC77-BL76)))</f>
        <v>245.79999999999993</v>
      </c>
      <c r="BE77" s="14">
        <f>BD77*VLOOKUP('Données projet'!$B$11,Paramètres!$A$1:$I$89,3,0)*VLOOKUP('Données projet'!$B$11,Paramètres!$A$1:$I$89,5,0)</f>
        <v>249.24119999999994</v>
      </c>
      <c r="BF77" s="14">
        <f t="shared" si="91"/>
        <v>60.42342651744692</v>
      </c>
      <c r="BG77" s="22">
        <f t="shared" si="61"/>
        <v>539.33255785121992</v>
      </c>
      <c r="BH77" s="62">
        <f t="shared" si="62"/>
        <v>807.55858695417078</v>
      </c>
      <c r="BI77" s="62">
        <f ca="1">AVERAGE(OFFSET($BH$3,0,0,'Données projet'!$E$11+1,1))-AVERAGE(OFFSET($H$3,0,0,'Données projet'!$E$11+1,1))</f>
        <v>396.06968288200386</v>
      </c>
      <c r="BJ77" s="62">
        <f t="shared" si="92"/>
        <v>273.35778700650792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25.152065696248233</v>
      </c>
      <c r="BQ77" s="23">
        <f>EXP(-LN(2)/25)*BQ76+(1-EXP(-LN(2)/25))/(LN(2)/25)*Calculateur!BL77*Calculateur!BN77*VLOOKUP('Données projet'!$B$11,Paramètres!$A$1:$I$89,3,0)*0.475*44/12</f>
        <v>11.024847617620487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36.176913313868724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8.875</v>
      </c>
      <c r="N78" s="14">
        <f>IF('Données projet'!$A$36&gt;35,N77+M78-V77,IF(A78&lt;'Données projet'!$A$36,$K$205^A78,IF(A78='Données projet'!$A$36,'Données projet'!$B$36,N77+M78-V77)))</f>
        <v>504.875</v>
      </c>
      <c r="O78" s="14">
        <f>N78*VLOOKUP('Données projet'!$B$9,Paramètres!$A$1:$I$89,3,0)*VLOOKUP('Données projet'!$B$9,Paramètres!$A$1:$I$89,5,0)</f>
        <v>301.91525000000001</v>
      </c>
      <c r="P78" s="14">
        <f t="shared" si="87"/>
        <v>71.577824610045951</v>
      </c>
      <c r="Q78" s="22">
        <f t="shared" si="54"/>
        <v>650.50043827916329</v>
      </c>
      <c r="R78" s="62">
        <f t="shared" si="55"/>
        <v>919.16202297898803</v>
      </c>
      <c r="S78" s="62">
        <f ca="1">AVERAGE(OFFSET($R$3,0,0,'Données projet'!$E$9+1,1))-AVERAGE(OFFSET($H$3,0,0,'Données projet'!$E$9+1,1))</f>
        <v>394.69391436029986</v>
      </c>
      <c r="T78" s="62">
        <f t="shared" si="88"/>
        <v>311.37245656657353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72.183008656543905</v>
      </c>
      <c r="AA78" s="23">
        <f>EXP(-LN(2)/25)*AA77+(1-EXP(-LN(2)/25))/(LN(2)/25)*Calculateur!V78*Calculateur!X78*VLOOKUP('Données projet'!$B$9,Paramètres!$A$1:$I$89,3,0)*0.475*44/12</f>
        <v>2.5649622651932233</v>
      </c>
      <c r="AB78" s="23">
        <f>EXP(-LN(2)/2)*AB77+(1-EXP(-LN(2)/2))/(LN(2)/2)*V78*Y78*VLOOKUP('Données projet'!$B$9,Paramètres!$A$1:$I$89,3,0)*0.475*44/12</f>
        <v>2.9718971407425561</v>
      </c>
      <c r="AC78" s="24">
        <f t="shared" si="57"/>
        <v>77.719868062479691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5.6843418860808015E-14</v>
      </c>
      <c r="AJ78" s="14">
        <f>AI78*VLOOKUP('Données projet'!$B$10,Paramètres!$A$1:$I$89,3,0)*VLOOKUP('Données projet'!$B$10,Paramètres!$A$1:$I$89,5,0)</f>
        <v>2.6602720026858149E-14</v>
      </c>
      <c r="AK78" s="14">
        <f t="shared" si="89"/>
        <v>4.6624771586320878E-13</v>
      </c>
      <c r="AL78" s="22">
        <f t="shared" si="58"/>
        <v>8.583811758418665E-13</v>
      </c>
      <c r="AM78" s="62">
        <f t="shared" si="59"/>
        <v>268.66158469982565</v>
      </c>
      <c r="AN78" s="62">
        <f ca="1">AVERAGE(OFFSET($AM$3,0,0,'Données projet'!$E$10+1,1))-AVERAGE(OFFSET($H$3,0,0,'Données projet'!$E$10+1,1))</f>
        <v>215.50514301701057</v>
      </c>
      <c r="AO78" s="62">
        <f t="shared" si="90"/>
        <v>273.18950868898253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100.39283690641494</v>
      </c>
      <c r="AV78" s="23">
        <f>EXP(-LN(2)/25)*AV77+(1-EXP(-LN(2)/25))/(LN(2)/25)*Calculateur!AQ78*Calculateur!AS78*VLOOKUP('Données projet'!$B$10,Paramètres!$A$1:$I$89,3,0)*0.475*44/12</f>
        <v>2.1673098460606801</v>
      </c>
      <c r="AW78" s="23">
        <f>EXP(-LN(2)/2)*AW77+(1-EXP(-LN(2)/2))/(LN(2)/2)*AQ78*AT78*VLOOKUP('Données projet'!$B$10,Paramètres!$A$1:$I$89,3,0)*0.475*44/12</f>
        <v>0.16179265736407747</v>
      </c>
      <c r="AX78" s="23">
        <f t="shared" si="60"/>
        <v>102.72193940983969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252</v>
      </c>
      <c r="BB78" s="13">
        <f>VLOOKUP(A78,'Données projet'!$A$87:$I$107,9,0)</f>
        <v>6.2</v>
      </c>
      <c r="BC78" s="13">
        <f t="array" ref="BC78">INDEX(BB:BB,MIN(IF(ISNUMBER(BB78:BB274),ROW(BB78:BB274),"")))</f>
        <v>6.2</v>
      </c>
      <c r="BD78" s="13">
        <f>IF('Données projet'!$A$88&gt;35,BD77+BC78-BL77,IF(A78&lt;'Données projet'!$A$88,$BA$205^A78,IF(A78='Données projet'!$A$88,'Données projet'!$B$88,BD77+BC78-BL77)))</f>
        <v>251.99999999999991</v>
      </c>
      <c r="BE78" s="14">
        <f>BD78*VLOOKUP('Données projet'!$B$11,Paramètres!$A$1:$I$89,3,0)*VLOOKUP('Données projet'!$B$11,Paramètres!$A$1:$I$89,5,0)</f>
        <v>255.52799999999993</v>
      </c>
      <c r="BF78" s="14">
        <f t="shared" si="91"/>
        <v>61.768167868721477</v>
      </c>
      <c r="BG78" s="22">
        <f t="shared" si="61"/>
        <v>552.62415903802309</v>
      </c>
      <c r="BH78" s="62">
        <f t="shared" si="62"/>
        <v>821.28574373784795</v>
      </c>
      <c r="BI78" s="62">
        <f ca="1">AVERAGE(OFFSET($BH$3,0,0,'Données projet'!$E$11+1,1))-AVERAGE(OFFSET($H$3,0,0,'Données projet'!$E$11+1,1))</f>
        <v>396.06968288200386</v>
      </c>
      <c r="BJ78" s="62">
        <f t="shared" si="92"/>
        <v>273.35778700650792</v>
      </c>
      <c r="BK78" s="16">
        <f>IF(ISNA(VLOOKUP(A78,'Données projet'!$A$87:$I$107,3,0)),0,VLOOKUP(A78,'Données projet'!$A$87:$I$107,3,0))</f>
        <v>11</v>
      </c>
      <c r="BL78" s="16">
        <f>IF(ISNA(VLOOKUP(A78,'Données projet'!$A$87:$I$107,4,0)),0,VLOOKUP(A78,'Données projet'!$A$87:$I$107,4,0))</f>
        <v>21</v>
      </c>
      <c r="BM78" s="17">
        <f>IF(ISNA(VLOOKUP(A78,'Données projet'!$A$87:$I$107,5,0)),0%,VLOOKUP(A78,'Données projet'!$A$87:$I$107,5,0)*VLOOKUP('Données projet'!$B$11,Paramètres!$A$1:$I$89,7,0))</f>
        <v>0.30099999999999999</v>
      </c>
      <c r="BN78" s="17">
        <f>IF(ISNA(VLOOKUP(A78,'Données projet'!$A$87:$I$107,6,0)),0%,VLOOKUP(A78,'Données projet'!$A$87:$I$107,6,0)*VLOOKUP('Données projet'!$B$11,Paramètres!$A$1:$I$89,7,0))</f>
        <v>0.129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31.744354793984225</v>
      </c>
      <c r="BQ78" s="23">
        <f>EXP(-LN(2)/25)*BQ77+(1-EXP(-LN(2)/25))/(LN(2)/25)*Calculateur!BL78*Calculateur!BN78*VLOOKUP('Données projet'!$B$11,Paramètres!$A$1:$I$89,3,0)*0.475*44/12</f>
        <v>13.748061477806038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45.492416271790262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8.875</v>
      </c>
      <c r="N79" s="14">
        <f>IF('Données projet'!$A$36&gt;35,N78+M79-V78,IF(A79&lt;'Données projet'!$A$36,$K$205^A79,IF(A79='Données projet'!$A$36,'Données projet'!$B$36,N78+M79-V78)))</f>
        <v>513.75</v>
      </c>
      <c r="O79" s="14">
        <f>N79*VLOOKUP('Données projet'!$B$9,Paramètres!$A$1:$I$89,3,0)*VLOOKUP('Données projet'!$B$9,Paramètres!$A$1:$I$89,5,0)</f>
        <v>307.22250000000003</v>
      </c>
      <c r="P79" s="14">
        <f t="shared" si="87"/>
        <v>72.68847414066191</v>
      </c>
      <c r="Q79" s="22">
        <f t="shared" si="54"/>
        <v>661.67827996165295</v>
      </c>
      <c r="R79" s="62">
        <f t="shared" si="55"/>
        <v>930.76786434250243</v>
      </c>
      <c r="S79" s="62">
        <f ca="1">AVERAGE(OFFSET($R$3,0,0,'Données projet'!$E$9+1,1))-AVERAGE(OFFSET($H$3,0,0,'Données projet'!$E$9+1,1))</f>
        <v>394.69391436029986</v>
      </c>
      <c r="T79" s="62">
        <f t="shared" si="88"/>
        <v>311.37245656657353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70.767543884077028</v>
      </c>
      <c r="AA79" s="23">
        <f>EXP(-LN(2)/25)*AA78+(1-EXP(-LN(2)/25))/(LN(2)/25)*Calculateur!V79*Calculateur!X79*VLOOKUP('Données projet'!$B$9,Paramètres!$A$1:$I$89,3,0)*0.475*44/12</f>
        <v>2.4948232371660115</v>
      </c>
      <c r="AB79" s="23">
        <f>EXP(-LN(2)/2)*AB78+(1-EXP(-LN(2)/2))/(LN(2)/2)*V79*Y79*VLOOKUP('Données projet'!$B$9,Paramètres!$A$1:$I$89,3,0)*0.475*44/12</f>
        <v>2.101448621207973</v>
      </c>
      <c r="AC79" s="24">
        <f t="shared" si="57"/>
        <v>75.363815742451024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5.6843418860808015E-14</v>
      </c>
      <c r="AJ79" s="14">
        <f>AI79*VLOOKUP('Données projet'!$B$10,Paramètres!$A$1:$I$89,3,0)*VLOOKUP('Données projet'!$B$10,Paramètres!$A$1:$I$89,5,0)</f>
        <v>2.6602720026858149E-14</v>
      </c>
      <c r="AK79" s="14">
        <f t="shared" si="89"/>
        <v>4.6624771586320878E-13</v>
      </c>
      <c r="AL79" s="22">
        <f t="shared" si="58"/>
        <v>8.583811758418665E-13</v>
      </c>
      <c r="AM79" s="62">
        <f t="shared" si="59"/>
        <v>269.08958438085028</v>
      </c>
      <c r="AN79" s="62">
        <f ca="1">AVERAGE(OFFSET($AM$3,0,0,'Données projet'!$E$10+1,1))-AVERAGE(OFFSET($H$3,0,0,'Données projet'!$E$10+1,1))</f>
        <v>215.50514301701057</v>
      </c>
      <c r="AO79" s="62">
        <f t="shared" si="90"/>
        <v>273.18950868898253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98.424194608264344</v>
      </c>
      <c r="AV79" s="23">
        <f>EXP(-LN(2)/25)*AV78+(1-EXP(-LN(2)/25))/(LN(2)/25)*Calculateur!AQ79*Calculateur!AS79*VLOOKUP('Données projet'!$B$10,Paramètres!$A$1:$I$89,3,0)*0.475*44/12</f>
        <v>2.1080446443462795</v>
      </c>
      <c r="AW79" s="23">
        <f>EXP(-LN(2)/2)*AW78+(1-EXP(-LN(2)/2))/(LN(2)/2)*AQ79*AT79*VLOOKUP('Données projet'!$B$10,Paramètres!$A$1:$I$89,3,0)*0.475*44/12</f>
        <v>0.11440468516833079</v>
      </c>
      <c r="AX79" s="23">
        <f t="shared" si="60"/>
        <v>100.64664393777895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6</v>
      </c>
      <c r="BD79" s="13">
        <f>IF('Données projet'!$A$88&gt;35,BD78+BC79-BL78,IF(A79&lt;'Données projet'!$A$88,$BA$205^A79,IF(A79='Données projet'!$A$88,'Données projet'!$B$88,BD78+BC79-BL78)))</f>
        <v>236.99999999999989</v>
      </c>
      <c r="BE79" s="14">
        <f>BD79*VLOOKUP('Données projet'!$B$11,Paramètres!$A$1:$I$89,3,0)*VLOOKUP('Données projet'!$B$11,Paramètres!$A$1:$I$89,5,0)</f>
        <v>240.3179999999999</v>
      </c>
      <c r="BF79" s="14">
        <f t="shared" si="91"/>
        <v>58.507944457766484</v>
      </c>
      <c r="BG79" s="22">
        <f t="shared" si="61"/>
        <v>520.45518659727634</v>
      </c>
      <c r="BH79" s="62">
        <f t="shared" si="62"/>
        <v>789.54477097812583</v>
      </c>
      <c r="BI79" s="62">
        <f ca="1">AVERAGE(OFFSET($BH$3,0,0,'Données projet'!$E$11+1,1))-AVERAGE(OFFSET($H$3,0,0,'Données projet'!$E$11+1,1))</f>
        <v>396.06968288200386</v>
      </c>
      <c r="BJ79" s="62">
        <f t="shared" si="92"/>
        <v>273.35778700650792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31.121867358618765</v>
      </c>
      <c r="BQ79" s="23">
        <f>EXP(-LN(2)/25)*BQ78+(1-EXP(-LN(2)/25))/(LN(2)/25)*Calculateur!BL79*Calculateur!BN79*VLOOKUP('Données projet'!$B$11,Paramètres!$A$1:$I$89,3,0)*0.475*44/12</f>
        <v>13.3721200137163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44.493987372335063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8.875</v>
      </c>
      <c r="N80" s="14">
        <f>IF('Données projet'!$A$36&gt;35,N79+M80-V79,IF(A80&lt;'Données projet'!$A$36,$K$205^A80,IF(A80='Données projet'!$A$36,'Données projet'!$B$36,N79+M80-V79)))</f>
        <v>522.625</v>
      </c>
      <c r="O80" s="14">
        <f>N80*VLOOKUP('Données projet'!$B$9,Paramètres!$A$1:$I$89,3,0)*VLOOKUP('Données projet'!$B$9,Paramètres!$A$1:$I$89,5,0)</f>
        <v>312.52975000000004</v>
      </c>
      <c r="P80" s="14">
        <f t="shared" si="87"/>
        <v>73.796892500493684</v>
      </c>
      <c r="Q80" s="22">
        <f t="shared" si="54"/>
        <v>672.85223568835988</v>
      </c>
      <c r="R80" s="62">
        <f t="shared" si="55"/>
        <v>942.36239491263223</v>
      </c>
      <c r="S80" s="62">
        <f ca="1">AVERAGE(OFFSET($R$3,0,0,'Données projet'!$E$9+1,1))-AVERAGE(OFFSET($H$3,0,0,'Données projet'!$E$9+1,1))</f>
        <v>394.69391436029986</v>
      </c>
      <c r="T80" s="62">
        <f t="shared" si="88"/>
        <v>311.37245656657353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69.379835512449958</v>
      </c>
      <c r="AA80" s="23">
        <f>EXP(-LN(2)/25)*AA79+(1-EXP(-LN(2)/25))/(LN(2)/25)*Calculateur!V80*Calculateur!X80*VLOOKUP('Données projet'!$B$9,Paramètres!$A$1:$I$89,3,0)*0.475*44/12</f>
        <v>2.4266021645486551</v>
      </c>
      <c r="AB80" s="23">
        <f>EXP(-LN(2)/2)*AB79+(1-EXP(-LN(2)/2))/(LN(2)/2)*V80*Y80*VLOOKUP('Données projet'!$B$9,Paramètres!$A$1:$I$89,3,0)*0.475*44/12</f>
        <v>1.4859485703712783</v>
      </c>
      <c r="AC80" s="24">
        <f t="shared" si="57"/>
        <v>73.29238624736989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5.6843418860808015E-14</v>
      </c>
      <c r="AJ80" s="14">
        <f>AI80*VLOOKUP('Données projet'!$B$10,Paramètres!$A$1:$I$89,3,0)*VLOOKUP('Données projet'!$B$10,Paramètres!$A$1:$I$89,5,0)</f>
        <v>2.6602720026858149E-14</v>
      </c>
      <c r="AK80" s="14">
        <f t="shared" si="89"/>
        <v>4.6624771586320878E-13</v>
      </c>
      <c r="AL80" s="22">
        <f t="shared" si="58"/>
        <v>8.583811758418665E-13</v>
      </c>
      <c r="AM80" s="62">
        <f t="shared" si="59"/>
        <v>269.51015922427314</v>
      </c>
      <c r="AN80" s="62">
        <f ca="1">AVERAGE(OFFSET($AM$3,0,0,'Données projet'!$E$10+1,1))-AVERAGE(OFFSET($H$3,0,0,'Données projet'!$E$10+1,1))</f>
        <v>215.50514301701057</v>
      </c>
      <c r="AO80" s="62">
        <f t="shared" si="90"/>
        <v>273.18950868898253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96.494156184827247</v>
      </c>
      <c r="AV80" s="23">
        <f>EXP(-LN(2)/25)*AV79+(1-EXP(-LN(2)/25))/(LN(2)/25)*Calculateur!AQ80*Calculateur!AS80*VLOOKUP('Données projet'!$B$10,Paramètres!$A$1:$I$89,3,0)*0.475*44/12</f>
        <v>2.0504000526893806</v>
      </c>
      <c r="AW80" s="23">
        <f>EXP(-LN(2)/2)*AW79+(1-EXP(-LN(2)/2))/(LN(2)/2)*AQ80*AT80*VLOOKUP('Données projet'!$B$10,Paramètres!$A$1:$I$89,3,0)*0.475*44/12</f>
        <v>8.0896328682038735E-2</v>
      </c>
      <c r="AX80" s="23">
        <f t="shared" si="60"/>
        <v>98.625452566198675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6</v>
      </c>
      <c r="BD80" s="13">
        <f>IF('Données projet'!$A$88&gt;35,BD79+BC80-BL79,IF(A80&lt;'Données projet'!$A$88,$BA$205^A80,IF(A80='Données projet'!$A$88,'Données projet'!$B$88,BD79+BC80-BL79)))</f>
        <v>242.99999999999989</v>
      </c>
      <c r="BE80" s="14">
        <f>BD80*VLOOKUP('Données projet'!$B$11,Paramètres!$A$1:$I$89,3,0)*VLOOKUP('Données projet'!$B$11,Paramètres!$A$1:$I$89,5,0)</f>
        <v>246.4019999999999</v>
      </c>
      <c r="BF80" s="14">
        <f t="shared" si="91"/>
        <v>59.814834475385474</v>
      </c>
      <c r="BG80" s="22">
        <f t="shared" si="61"/>
        <v>533.32765337796286</v>
      </c>
      <c r="BH80" s="62">
        <f t="shared" si="62"/>
        <v>802.83781260223509</v>
      </c>
      <c r="BI80" s="62">
        <f ca="1">AVERAGE(OFFSET($BH$3,0,0,'Données projet'!$E$11+1,1))-AVERAGE(OFFSET($H$3,0,0,'Données projet'!$E$11+1,1))</f>
        <v>396.06968288200386</v>
      </c>
      <c r="BJ80" s="62">
        <f t="shared" si="92"/>
        <v>273.35778700650792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30.511586522180977</v>
      </c>
      <c r="BQ80" s="23">
        <f>EXP(-LN(2)/25)*BQ79+(1-EXP(-LN(2)/25))/(LN(2)/25)*Calculateur!BL80*Calculateur!BN80*VLOOKUP('Données projet'!$B$11,Paramètres!$A$1:$I$89,3,0)*0.475*44/12</f>
        <v>13.006458688731998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43.518045210912973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8.875</v>
      </c>
      <c r="N81" s="14">
        <f>IF('Données projet'!$A$36&gt;35,N80+M81-V80,IF(A81&lt;'Données projet'!$A$36,$K$205^A81,IF(A81='Données projet'!$A$36,'Données projet'!$B$36,N80+M81-V80)))</f>
        <v>531.5</v>
      </c>
      <c r="O81" s="14">
        <f>N81*VLOOKUP('Données projet'!$B$9,Paramètres!$A$1:$I$89,3,0)*VLOOKUP('Données projet'!$B$9,Paramètres!$A$1:$I$89,5,0)</f>
        <v>317.83700000000005</v>
      </c>
      <c r="P81" s="14">
        <f t="shared" si="87"/>
        <v>74.903121950927684</v>
      </c>
      <c r="Q81" s="22">
        <f t="shared" si="54"/>
        <v>684.0223790645324</v>
      </c>
      <c r="R81" s="62">
        <f t="shared" si="55"/>
        <v>953.94581709895863</v>
      </c>
      <c r="S81" s="62">
        <f ca="1">AVERAGE(OFFSET($R$3,0,0,'Données projet'!$E$9+1,1))-AVERAGE(OFFSET($H$3,0,0,'Données projet'!$E$9+1,1))</f>
        <v>394.69391436029986</v>
      </c>
      <c r="T81" s="62">
        <f t="shared" si="88"/>
        <v>311.37245656657353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68.019339255571964</v>
      </c>
      <c r="AA81" s="23">
        <f>EXP(-LN(2)/25)*AA80+(1-EXP(-LN(2)/25))/(LN(2)/25)*Calculateur!V81*Calculateur!X81*VLOOKUP('Données projet'!$B$9,Paramètres!$A$1:$I$89,3,0)*0.475*44/12</f>
        <v>2.3602466007496101</v>
      </c>
      <c r="AB81" s="23">
        <f>EXP(-LN(2)/2)*AB80+(1-EXP(-LN(2)/2))/(LN(2)/2)*V81*Y81*VLOOKUP('Données projet'!$B$9,Paramètres!$A$1:$I$89,3,0)*0.475*44/12</f>
        <v>1.0507243106039867</v>
      </c>
      <c r="AC81" s="24">
        <f t="shared" si="57"/>
        <v>71.430310166925551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5.6843418860808015E-14</v>
      </c>
      <c r="AJ81" s="14">
        <f>AI81*VLOOKUP('Données projet'!$B$10,Paramètres!$A$1:$I$89,3,0)*VLOOKUP('Données projet'!$B$10,Paramètres!$A$1:$I$89,5,0)</f>
        <v>2.6602720026858149E-14</v>
      </c>
      <c r="AK81" s="14">
        <f t="shared" si="89"/>
        <v>4.6624771586320878E-13</v>
      </c>
      <c r="AL81" s="22">
        <f t="shared" si="58"/>
        <v>8.583811758418665E-13</v>
      </c>
      <c r="AM81" s="62">
        <f t="shared" si="59"/>
        <v>269.92343803442708</v>
      </c>
      <c r="AN81" s="62">
        <f ca="1">AVERAGE(OFFSET($AM$3,0,0,'Données projet'!$E$10+1,1))-AVERAGE(OFFSET($H$3,0,0,'Données projet'!$E$10+1,1))</f>
        <v>215.50514301701057</v>
      </c>
      <c r="AO81" s="62">
        <f t="shared" si="90"/>
        <v>273.18950868898253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94.601964637666541</v>
      </c>
      <c r="AV81" s="23">
        <f>EXP(-LN(2)/25)*AV80+(1-EXP(-LN(2)/25))/(LN(2)/25)*Calculateur!AQ81*Calculateur!AS81*VLOOKUP('Données projet'!$B$10,Paramètres!$A$1:$I$89,3,0)*0.475*44/12</f>
        <v>1.9943317554227371</v>
      </c>
      <c r="AW81" s="23">
        <f>EXP(-LN(2)/2)*AW80+(1-EXP(-LN(2)/2))/(LN(2)/2)*AQ81*AT81*VLOOKUP('Données projet'!$B$10,Paramètres!$A$1:$I$89,3,0)*0.475*44/12</f>
        <v>5.7202342584165393E-2</v>
      </c>
      <c r="AX81" s="23">
        <f t="shared" si="60"/>
        <v>96.653498735673438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6</v>
      </c>
      <c r="BD81" s="13">
        <f>IF('Données projet'!$A$88&gt;35,BD80+BC81-BL80,IF(A81&lt;'Données projet'!$A$88,$BA$205^A81,IF(A81='Données projet'!$A$88,'Données projet'!$B$88,BD80+BC81-BL80)))</f>
        <v>248.99999999999989</v>
      </c>
      <c r="BE81" s="14">
        <f>BD81*VLOOKUP('Données projet'!$B$11,Paramètres!$A$1:$I$89,3,0)*VLOOKUP('Données projet'!$B$11,Paramètres!$A$1:$I$89,5,0)</f>
        <v>252.4859999999999</v>
      </c>
      <c r="BF81" s="14">
        <f t="shared" si="91"/>
        <v>61.117973383957384</v>
      </c>
      <c r="BG81" s="22">
        <f t="shared" si="61"/>
        <v>546.193586977059</v>
      </c>
      <c r="BH81" s="62">
        <f t="shared" si="62"/>
        <v>816.11702501148523</v>
      </c>
      <c r="BI81" s="62">
        <f ca="1">AVERAGE(OFFSET($BH$3,0,0,'Données projet'!$E$11+1,1))-AVERAGE(OFFSET($H$3,0,0,'Données projet'!$E$11+1,1))</f>
        <v>396.06968288200386</v>
      </c>
      <c r="BJ81" s="62">
        <f t="shared" si="92"/>
        <v>273.35778700650792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29.913272920711179</v>
      </c>
      <c r="BQ81" s="23">
        <f>EXP(-LN(2)/25)*BQ80+(1-EXP(-LN(2)/25))/(LN(2)/25)*Calculateur!BL81*Calculateur!BN81*VLOOKUP('Données projet'!$B$11,Paramètres!$A$1:$I$89,3,0)*0.475*44/12</f>
        <v>12.650796391908687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42.564069312619864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8.875</v>
      </c>
      <c r="N82" s="14">
        <f>IF('Données projet'!$A$36&gt;35,N81+M82-V81,IF(A82&lt;'Données projet'!$A$36,$K$205^A82,IF(A82='Données projet'!$A$36,'Données projet'!$B$36,N81+M82-V81)))</f>
        <v>540.375</v>
      </c>
      <c r="O82" s="14">
        <f>N82*VLOOKUP('Données projet'!$B$9,Paramètres!$A$1:$I$89,3,0)*VLOOKUP('Données projet'!$B$9,Paramètres!$A$1:$I$89,5,0)</f>
        <v>323.14425000000006</v>
      </c>
      <c r="P82" s="14">
        <f t="shared" si="87"/>
        <v>76.007203261088534</v>
      </c>
      <c r="Q82" s="22">
        <f t="shared" si="54"/>
        <v>695.18878109639593</v>
      </c>
      <c r="R82" s="62">
        <f t="shared" si="55"/>
        <v>965.51832847757282</v>
      </c>
      <c r="S82" s="62">
        <f ca="1">AVERAGE(OFFSET($R$3,0,0,'Données projet'!$E$9+1,1))-AVERAGE(OFFSET($H$3,0,0,'Données projet'!$E$9+1,1))</f>
        <v>394.69391436029986</v>
      </c>
      <c r="T82" s="62">
        <f t="shared" si="88"/>
        <v>311.37245656657353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66.685521500470571</v>
      </c>
      <c r="AA82" s="23">
        <f>EXP(-LN(2)/25)*AA81+(1-EXP(-LN(2)/25))/(LN(2)/25)*Calculateur!V82*Calculateur!X82*VLOOKUP('Données projet'!$B$9,Paramètres!$A$1:$I$89,3,0)*0.475*44/12</f>
        <v>2.2957055333321379</v>
      </c>
      <c r="AB82" s="23">
        <f>EXP(-LN(2)/2)*AB81+(1-EXP(-LN(2)/2))/(LN(2)/2)*V82*Y82*VLOOKUP('Données projet'!$B$9,Paramètres!$A$1:$I$89,3,0)*0.475*44/12</f>
        <v>0.74297428518563935</v>
      </c>
      <c r="AC82" s="24">
        <f t="shared" si="57"/>
        <v>69.724201318988349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5.6843418860808015E-14</v>
      </c>
      <c r="AJ82" s="14">
        <f>AI82*VLOOKUP('Données projet'!$B$10,Paramètres!$A$1:$I$89,3,0)*VLOOKUP('Données projet'!$B$10,Paramètres!$A$1:$I$89,5,0)</f>
        <v>2.6602720026858149E-14</v>
      </c>
      <c r="AK82" s="14">
        <f t="shared" si="89"/>
        <v>4.6624771586320878E-13</v>
      </c>
      <c r="AL82" s="22">
        <f t="shared" si="58"/>
        <v>8.583811758418665E-13</v>
      </c>
      <c r="AM82" s="62">
        <f t="shared" si="59"/>
        <v>270.3295473811778</v>
      </c>
      <c r="AN82" s="62">
        <f ca="1">AVERAGE(OFFSET($AM$3,0,0,'Données projet'!$E$10+1,1))-AVERAGE(OFFSET($H$3,0,0,'Données projet'!$E$10+1,1))</f>
        <v>215.50514301701057</v>
      </c>
      <c r="AO82" s="62">
        <f t="shared" si="90"/>
        <v>273.18950868898253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92.746877812622785</v>
      </c>
      <c r="AV82" s="23">
        <f>EXP(-LN(2)/25)*AV81+(1-EXP(-LN(2)/25))/(LN(2)/25)*Calculateur!AQ82*Calculateur!AS82*VLOOKUP('Données projet'!$B$10,Paramètres!$A$1:$I$89,3,0)*0.475*44/12</f>
        <v>1.9397966486933536</v>
      </c>
      <c r="AW82" s="23">
        <f>EXP(-LN(2)/2)*AW81+(1-EXP(-LN(2)/2))/(LN(2)/2)*AQ82*AT82*VLOOKUP('Données projet'!$B$10,Paramètres!$A$1:$I$89,3,0)*0.475*44/12</f>
        <v>4.0448164341019367E-2</v>
      </c>
      <c r="AX82" s="23">
        <f t="shared" si="60"/>
        <v>94.727122625657159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6</v>
      </c>
      <c r="BD82" s="13">
        <f>IF('Données projet'!$A$88&gt;35,BD81+BC82-BL81,IF(A82&lt;'Données projet'!$A$88,$BA$205^A82,IF(A82='Données projet'!$A$88,'Données projet'!$B$88,BD81+BC82-BL81)))</f>
        <v>254.99999999999989</v>
      </c>
      <c r="BE82" s="14">
        <f>BD82*VLOOKUP('Données projet'!$B$11,Paramètres!$A$1:$I$89,3,0)*VLOOKUP('Données projet'!$B$11,Paramètres!$A$1:$I$89,5,0)</f>
        <v>258.56999999999994</v>
      </c>
      <c r="BF82" s="14">
        <f t="shared" si="91"/>
        <v>62.417461971173843</v>
      </c>
      <c r="BG82" s="22">
        <f t="shared" si="61"/>
        <v>559.05316293312762</v>
      </c>
      <c r="BH82" s="62">
        <f t="shared" si="62"/>
        <v>829.38271031430463</v>
      </c>
      <c r="BI82" s="62">
        <f ca="1">AVERAGE(OFFSET($BH$3,0,0,'Données projet'!$E$11+1,1))-AVERAGE(OFFSET($H$3,0,0,'Données projet'!$E$11+1,1))</f>
        <v>396.06968288200386</v>
      </c>
      <c r="BJ82" s="62">
        <f t="shared" si="92"/>
        <v>273.35778700650792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29.326691884030943</v>
      </c>
      <c r="BQ82" s="23">
        <f>EXP(-LN(2)/25)*BQ81+(1-EXP(-LN(2)/25))/(LN(2)/25)*Calculateur!BL82*Calculateur!BN82*VLOOKUP('Données projet'!$B$11,Paramètres!$A$1:$I$89,3,0)*0.475*44/12</f>
        <v>12.304859699295475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41.63155158332642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8.875</v>
      </c>
      <c r="N83" s="14">
        <f>IF('Données projet'!$A$36&gt;35,N82+M83-V82,IF(A83&lt;'Données projet'!$A$36,$K$205^A83,IF(A83='Données projet'!$A$36,'Données projet'!$B$36,N82+M83-V82)))</f>
        <v>549.25</v>
      </c>
      <c r="O83" s="14">
        <f>N83*VLOOKUP('Données projet'!$B$9,Paramètres!$A$1:$I$89,3,0)*VLOOKUP('Données projet'!$B$9,Paramètres!$A$1:$I$89,5,0)</f>
        <v>328.45150000000001</v>
      </c>
      <c r="P83" s="14">
        <f t="shared" si="87"/>
        <v>77.109175784158708</v>
      </c>
      <c r="Q83" s="22">
        <f t="shared" si="54"/>
        <v>706.35151032407646</v>
      </c>
      <c r="R83" s="62">
        <f t="shared" si="55"/>
        <v>977.08012196276263</v>
      </c>
      <c r="S83" s="62">
        <f ca="1">AVERAGE(OFFSET($R$3,0,0,'Données projet'!$E$9+1,1))-AVERAGE(OFFSET($H$3,0,0,'Données projet'!$E$9+1,1))</f>
        <v>394.69391436029986</v>
      </c>
      <c r="T83" s="62">
        <f t="shared" si="88"/>
        <v>311.37245656657353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65.377859097998225</v>
      </c>
      <c r="AA83" s="23">
        <f>EXP(-LN(2)/25)*AA82+(1-EXP(-LN(2)/25))/(LN(2)/25)*Calculateur!V83*Calculateur!X83*VLOOKUP('Données projet'!$B$9,Paramètres!$A$1:$I$89,3,0)*0.475*44/12</f>
        <v>2.2329293447972636</v>
      </c>
      <c r="AB83" s="23">
        <f>EXP(-LN(2)/2)*AB82+(1-EXP(-LN(2)/2))/(LN(2)/2)*V83*Y83*VLOOKUP('Données projet'!$B$9,Paramètres!$A$1:$I$89,3,0)*0.475*44/12</f>
        <v>0.52536215530199348</v>
      </c>
      <c r="AC83" s="24">
        <f t="shared" si="57"/>
        <v>68.136150598097487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5.6843418860808015E-14</v>
      </c>
      <c r="AJ83" s="14">
        <f>AI83*VLOOKUP('Données projet'!$B$10,Paramètres!$A$1:$I$89,3,0)*VLOOKUP('Données projet'!$B$10,Paramètres!$A$1:$I$89,5,0)</f>
        <v>2.6602720026858149E-14</v>
      </c>
      <c r="AK83" s="14">
        <f t="shared" si="89"/>
        <v>4.6624771586320878E-13</v>
      </c>
      <c r="AL83" s="22">
        <f t="shared" si="58"/>
        <v>8.583811758418665E-13</v>
      </c>
      <c r="AM83" s="62">
        <f t="shared" si="59"/>
        <v>270.72861163868697</v>
      </c>
      <c r="AN83" s="62">
        <f ca="1">AVERAGE(OFFSET($AM$3,0,0,'Données projet'!$E$10+1,1))-AVERAGE(OFFSET($H$3,0,0,'Données projet'!$E$10+1,1))</f>
        <v>215.50514301701057</v>
      </c>
      <c r="AO83" s="62">
        <f t="shared" si="90"/>
        <v>273.18950868898253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90.928168108726894</v>
      </c>
      <c r="AV83" s="23">
        <f>EXP(-LN(2)/25)*AV82+(1-EXP(-LN(2)/25))/(LN(2)/25)*Calculateur!AQ83*Calculateur!AS83*VLOOKUP('Données projet'!$B$10,Paramètres!$A$1:$I$89,3,0)*0.475*44/12</f>
        <v>1.8867528073253614</v>
      </c>
      <c r="AW83" s="23">
        <f>EXP(-LN(2)/2)*AW82+(1-EXP(-LN(2)/2))/(LN(2)/2)*AQ83*AT83*VLOOKUP('Données projet'!$B$10,Paramètres!$A$1:$I$89,3,0)*0.475*44/12</f>
        <v>2.8601171292082696E-2</v>
      </c>
      <c r="AX83" s="23">
        <f t="shared" si="60"/>
        <v>92.84352208734434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261</v>
      </c>
      <c r="BB83" s="13">
        <f>VLOOKUP(A83,'Données projet'!$A$87:$I$107,9,0)</f>
        <v>6</v>
      </c>
      <c r="BC83" s="13">
        <f t="array" ref="BC83">INDEX(BB:BB,MIN(IF(ISNUMBER(BB83:BB279),ROW(BB83:BB279),"")))</f>
        <v>6</v>
      </c>
      <c r="BD83" s="13">
        <f>IF('Données projet'!$A$88&gt;35,BD82+BC83-BL82,IF(A83&lt;'Données projet'!$A$88,$BA$205^A83,IF(A83='Données projet'!$A$88,'Données projet'!$B$88,BD82+BC83-BL82)))</f>
        <v>260.99999999999989</v>
      </c>
      <c r="BE83" s="14">
        <f>BD83*VLOOKUP('Données projet'!$B$11,Paramètres!$A$1:$I$89,3,0)*VLOOKUP('Données projet'!$B$11,Paramètres!$A$1:$I$89,5,0)</f>
        <v>264.65399999999988</v>
      </c>
      <c r="BF83" s="14">
        <f t="shared" si="91"/>
        <v>63.71339601121106</v>
      </c>
      <c r="BG83" s="22">
        <f t="shared" si="61"/>
        <v>571.90654805285897</v>
      </c>
      <c r="BH83" s="62">
        <f t="shared" si="62"/>
        <v>842.63515969154514</v>
      </c>
      <c r="BI83" s="62">
        <f ca="1">AVERAGE(OFFSET($BH$3,0,0,'Données projet'!$E$11+1,1))-AVERAGE(OFFSET($H$3,0,0,'Données projet'!$E$11+1,1))</f>
        <v>396.06968288200386</v>
      </c>
      <c r="BJ83" s="62">
        <f t="shared" si="92"/>
        <v>273.35778700650792</v>
      </c>
      <c r="BK83" s="16">
        <f>IF(ISNA(VLOOKUP(A83,'Données projet'!$A$87:$I$107,3,0)),0,VLOOKUP(A83,'Données projet'!$A$87:$I$107,3,0))</f>
        <v>12</v>
      </c>
      <c r="BL83" s="23">
        <f>IF(ISNA(VLOOKUP(A83,'Données projet'!$A$87:$I$107,4,0)),0,VLOOKUP(A83,'Données projet'!$A$87:$I$107,4,0))</f>
        <v>21</v>
      </c>
      <c r="BM83" s="17">
        <f>IF(ISNA(VLOOKUP(A83,'Données projet'!$A$87:$I$107,5,0)),0%,VLOOKUP(A83,'Données projet'!$A$87:$I$107,5,0)*VLOOKUP('Données projet'!$B$11,Paramètres!$A$1:$I$89,7,0))</f>
        <v>0.30099999999999999</v>
      </c>
      <c r="BN83" s="17">
        <f>IF(ISNA(VLOOKUP(A83,'Données projet'!$A$87:$I$107,6,0)),0%,VLOOKUP(A83,'Données projet'!$A$87:$I$107,6,0)*VLOOKUP('Données projet'!$B$11,Paramètres!$A$1:$I$89,7,0))</f>
        <v>0.129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35.837119108495067</v>
      </c>
      <c r="BQ83" s="23">
        <f>EXP(-LN(2)/25)*BQ82+(1-EXP(-LN(2)/25))/(LN(2)/25)*Calculateur!BL83*Calculateur!BN83*VLOOKUP('Données projet'!$B$11,Paramètres!$A$1:$I$89,3,0)*0.475*44/12</f>
        <v>14.993071561794713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50.830190670289781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8.875</v>
      </c>
      <c r="N84" s="14">
        <f>IF('Données projet'!$A$36&gt;35,N83+M84-V83,IF(A84&lt;'Données projet'!$A$36,$K$205^A84,IF(A84='Données projet'!$A$36,'Données projet'!$B$36,N83+M84-V83)))</f>
        <v>558.125</v>
      </c>
      <c r="O84" s="14">
        <f>N84*VLOOKUP('Données projet'!$B$9,Paramètres!$A$1:$I$89,3,0)*VLOOKUP('Données projet'!$B$9,Paramètres!$A$1:$I$89,5,0)</f>
        <v>333.75875000000002</v>
      </c>
      <c r="P84" s="14">
        <f t="shared" si="87"/>
        <v>78.209077528625059</v>
      </c>
      <c r="Q84" s="22">
        <f t="shared" si="54"/>
        <v>717.5106329456886</v>
      </c>
      <c r="R84" s="62">
        <f t="shared" si="55"/>
        <v>988.63138596918998</v>
      </c>
      <c r="S84" s="62">
        <f ca="1">AVERAGE(OFFSET($R$3,0,0,'Données projet'!$E$9+1,1))-AVERAGE(OFFSET($H$3,0,0,'Données projet'!$E$9+1,1))</f>
        <v>394.69391436029986</v>
      </c>
      <c r="T84" s="62">
        <f t="shared" si="88"/>
        <v>311.37245656657353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64.095839157643042</v>
      </c>
      <c r="AA84" s="23">
        <f>EXP(-LN(2)/25)*AA83+(1-EXP(-LN(2)/25))/(LN(2)/25)*Calculateur!V84*Calculateur!X84*VLOOKUP('Données projet'!$B$9,Paramètres!$A$1:$I$89,3,0)*0.475*44/12</f>
        <v>2.1718697744391315</v>
      </c>
      <c r="AB84" s="23">
        <f>EXP(-LN(2)/2)*AB83+(1-EXP(-LN(2)/2))/(LN(2)/2)*V84*Y84*VLOOKUP('Données projet'!$B$9,Paramètres!$A$1:$I$89,3,0)*0.475*44/12</f>
        <v>0.37148714259281973</v>
      </c>
      <c r="AC84" s="24">
        <f t="shared" si="57"/>
        <v>66.639196074674999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5.6843418860808015E-14</v>
      </c>
      <c r="AJ84" s="14">
        <f>AI84*VLOOKUP('Données projet'!$B$10,Paramètres!$A$1:$I$89,3,0)*VLOOKUP('Données projet'!$B$10,Paramètres!$A$1:$I$89,5,0)</f>
        <v>2.6602720026858149E-14</v>
      </c>
      <c r="AK84" s="14">
        <f t="shared" si="89"/>
        <v>4.6624771586320878E-13</v>
      </c>
      <c r="AL84" s="22">
        <f t="shared" si="58"/>
        <v>8.583811758418665E-13</v>
      </c>
      <c r="AM84" s="62">
        <f t="shared" si="59"/>
        <v>271.12075302350229</v>
      </c>
      <c r="AN84" s="62">
        <f ca="1">AVERAGE(OFFSET($AM$3,0,0,'Données projet'!$E$10+1,1))-AVERAGE(OFFSET($H$3,0,0,'Données projet'!$E$10+1,1))</f>
        <v>215.50514301701057</v>
      </c>
      <c r="AO84" s="62">
        <f t="shared" si="90"/>
        <v>273.18950868898253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89.14512219282102</v>
      </c>
      <c r="AV84" s="23">
        <f>EXP(-LN(2)/25)*AV83+(1-EXP(-LN(2)/25))/(LN(2)/25)*Calculateur!AQ84*Calculateur!AS84*VLOOKUP('Données projet'!$B$10,Paramètres!$A$1:$I$89,3,0)*0.475*44/12</f>
        <v>1.8351594525890316</v>
      </c>
      <c r="AW84" s="23">
        <f>EXP(-LN(2)/2)*AW83+(1-EXP(-LN(2)/2))/(LN(2)/2)*AQ84*AT84*VLOOKUP('Données projet'!$B$10,Paramètres!$A$1:$I$89,3,0)*0.475*44/12</f>
        <v>2.0224082170509684E-2</v>
      </c>
      <c r="AX84" s="23">
        <f t="shared" si="60"/>
        <v>91.00050572758056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5.8</v>
      </c>
      <c r="BD84" s="13">
        <f>IF('Données projet'!$A$88&gt;35,BD83+BC84-BL83,IF(A84&lt;'Données projet'!$A$88,$BA$205^A84,IF(A84='Données projet'!$A$88,'Données projet'!$B$88,BD83+BC84-BL83)))</f>
        <v>245.7999999999999</v>
      </c>
      <c r="BE84" s="14">
        <f>BD84*VLOOKUP('Données projet'!$B$11,Paramètres!$A$1:$I$89,3,0)*VLOOKUP('Données projet'!$B$11,Paramètres!$A$1:$I$89,5,0)</f>
        <v>249.24119999999988</v>
      </c>
      <c r="BF84" s="14">
        <f t="shared" si="91"/>
        <v>60.42342651744687</v>
      </c>
      <c r="BG84" s="22">
        <f t="shared" si="61"/>
        <v>539.3325578512198</v>
      </c>
      <c r="BH84" s="62">
        <f t="shared" si="62"/>
        <v>810.45331087472118</v>
      </c>
      <c r="BI84" s="62">
        <f ca="1">AVERAGE(OFFSET($BH$3,0,0,'Données projet'!$E$11+1,1))-AVERAGE(OFFSET($H$3,0,0,'Données projet'!$E$11+1,1))</f>
        <v>396.06968288200386</v>
      </c>
      <c r="BJ84" s="62">
        <f t="shared" si="92"/>
        <v>273.35778700650792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35.134375061261785</v>
      </c>
      <c r="BQ84" s="23">
        <f>EXP(-LN(2)/25)*BQ83+(1-EXP(-LN(2)/25))/(LN(2)/25)*Calculateur!BL84*Calculateur!BN84*VLOOKUP('Données projet'!$B$11,Paramètres!$A$1:$I$89,3,0)*0.475*44/12</f>
        <v>14.58308523148607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49.717460292747859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>
        <f>VLOOKUP(A85,'Données projet'!$A$35:$I$55,2,0)</f>
        <v>567</v>
      </c>
      <c r="L85" s="13">
        <f>VLOOKUP(A85,'Données projet'!$A$35:$I$55,9,0)</f>
        <v>8.875</v>
      </c>
      <c r="M85" s="13">
        <f t="array" ref="M85">INDEX(L:L,MIN(IF(ISNUMBER(L85:L281),ROW(L85:L281),"")))</f>
        <v>8.875</v>
      </c>
      <c r="N85" s="14">
        <f>IF('Données projet'!$A$36&gt;35,N84+M85-V84,IF(A85&lt;'Données projet'!$A$36,$K$205^A85,IF(A85='Données projet'!$A$36,'Données projet'!$B$36,N84+M85-V84)))</f>
        <v>567</v>
      </c>
      <c r="O85" s="14">
        <f>N85*VLOOKUP('Données projet'!$B$9,Paramètres!$A$1:$I$89,3,0)*VLOOKUP('Données projet'!$B$9,Paramètres!$A$1:$I$89,5,0)</f>
        <v>339.06600000000003</v>
      </c>
      <c r="P85" s="14">
        <f t="shared" si="87"/>
        <v>79.30694522486489</v>
      </c>
      <c r="Q85" s="22">
        <f t="shared" si="54"/>
        <v>728.66621293330627</v>
      </c>
      <c r="R85" s="62">
        <f t="shared" si="55"/>
        <v>1000.1723045652933</v>
      </c>
      <c r="S85" s="62">
        <f ca="1">AVERAGE(OFFSET($R$3,0,0,'Données projet'!$E$9+1,1))-AVERAGE(OFFSET($H$3,0,0,'Données projet'!$E$9+1,1))</f>
        <v>394.69391436029986</v>
      </c>
      <c r="T85" s="62">
        <f t="shared" si="88"/>
        <v>311.37245656657353</v>
      </c>
      <c r="U85" s="16">
        <f>IF(ISNA(VLOOKUP(A85,'Données projet'!$A$35:$I$55,3,0)),0,VLOOKUP(A85,'Données projet'!$A$35:$I$55,3,0))</f>
        <v>11</v>
      </c>
      <c r="V85" s="16">
        <f>IF(ISNA(VLOOKUP(A85,'Données projet'!$A$35:$I$55,4,0)),0,VLOOKUP(A85,'Données projet'!$A$35:$I$55,4,0))</f>
        <v>567</v>
      </c>
      <c r="W85" s="17">
        <f>IF(ISNA(VLOOKUP(A85,'Données projet'!$A$35:$I$55,5,0)),0%,VLOOKUP(A85,'Données projet'!$A$35:$I$55,5,0)*VLOOKUP('Données projet'!$B$9,Paramètres!$A$1:$I$89,7,0))</f>
        <v>0.38250000000000001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0.15</v>
      </c>
      <c r="Z85" s="23">
        <f>EXP(-LN(2)/35)*Z84+(1-EXP(-LN(2)/35))/(LN(2)/35)*V85*W85*VLOOKUP('Données projet'!$B$9,Paramètres!$A$1:$I$89,3,0)*0.475*44/12</f>
        <v>234.88474449174743</v>
      </c>
      <c r="AA85" s="23">
        <f>EXP(-LN(2)/25)*AA84+(1-EXP(-LN(2)/25))/(LN(2)/25)*Calculateur!V85*Calculateur!X85*VLOOKUP('Données projet'!$B$9,Paramètres!$A$1:$I$89,3,0)*0.475*44/12</f>
        <v>2.1124798812434258</v>
      </c>
      <c r="AB85" s="23">
        <f>EXP(-LN(2)/2)*AB84+(1-EXP(-LN(2)/2))/(LN(2)/2)*V85*Y85*VLOOKUP('Données projet'!$B$9,Paramètres!$A$1:$I$89,3,0)*0.475*44/12</f>
        <v>57.847902506617295</v>
      </c>
      <c r="AC85" s="24">
        <f t="shared" si="57"/>
        <v>294.84512687960813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5.6843418860808015E-14</v>
      </c>
      <c r="AJ85" s="14">
        <f>AI85*VLOOKUP('Données projet'!$B$10,Paramètres!$A$1:$I$89,3,0)*VLOOKUP('Données projet'!$B$10,Paramètres!$A$1:$I$89,5,0)</f>
        <v>2.6602720026858149E-14</v>
      </c>
      <c r="AK85" s="14">
        <f t="shared" si="89"/>
        <v>4.6624771586320878E-13</v>
      </c>
      <c r="AL85" s="22">
        <f t="shared" si="58"/>
        <v>8.583811758418665E-13</v>
      </c>
      <c r="AM85" s="62">
        <f t="shared" si="59"/>
        <v>271.50609163198789</v>
      </c>
      <c r="AN85" s="62">
        <f ca="1">AVERAGE(OFFSET($AM$3,0,0,'Données projet'!$E$10+1,1))-AVERAGE(OFFSET($H$3,0,0,'Données projet'!$E$10+1,1))</f>
        <v>215.50514301701057</v>
      </c>
      <c r="AO85" s="62">
        <f t="shared" si="90"/>
        <v>273.18950868898253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87.397040719775433</v>
      </c>
      <c r="AV85" s="23">
        <f>EXP(-LN(2)/25)*AV84+(1-EXP(-LN(2)/25))/(LN(2)/25)*Calculateur!AQ85*Calculateur!AS85*VLOOKUP('Données projet'!$B$10,Paramètres!$A$1:$I$89,3,0)*0.475*44/12</f>
        <v>1.7849769208511432</v>
      </c>
      <c r="AW85" s="23">
        <f>EXP(-LN(2)/2)*AW84+(1-EXP(-LN(2)/2))/(LN(2)/2)*AQ85*AT85*VLOOKUP('Données projet'!$B$10,Paramètres!$A$1:$I$89,3,0)*0.475*44/12</f>
        <v>1.4300585646041348E-2</v>
      </c>
      <c r="AX85" s="23">
        <f t="shared" si="60"/>
        <v>89.196318226272624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5.8</v>
      </c>
      <c r="BD85" s="13">
        <f>IF('Données projet'!$A$88&gt;35,BD84+BC85-BL84,IF(A85&lt;'Données projet'!$A$88,$BA$205^A85,IF(A85='Données projet'!$A$88,'Données projet'!$B$88,BD84+BC85-BL84)))</f>
        <v>251.59999999999991</v>
      </c>
      <c r="BE85" s="14">
        <f>BD85*VLOOKUP('Données projet'!$B$11,Paramètres!$A$1:$I$89,3,0)*VLOOKUP('Données projet'!$B$11,Paramètres!$A$1:$I$89,5,0)</f>
        <v>255.12239999999991</v>
      </c>
      <c r="BF85" s="14">
        <f t="shared" si="91"/>
        <v>61.681527554261443</v>
      </c>
      <c r="BG85" s="22">
        <f t="shared" si="61"/>
        <v>551.7668404903385</v>
      </c>
      <c r="BH85" s="62">
        <f t="shared" si="62"/>
        <v>823.27293212232553</v>
      </c>
      <c r="BI85" s="62">
        <f ca="1">AVERAGE(OFFSET($BH$3,0,0,'Données projet'!$E$11+1,1))-AVERAGE(OFFSET($H$3,0,0,'Données projet'!$E$11+1,1))</f>
        <v>396.06968288200386</v>
      </c>
      <c r="BJ85" s="62">
        <f t="shared" si="92"/>
        <v>273.35778700650792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34.445411396163209</v>
      </c>
      <c r="BQ85" s="23">
        <f>EXP(-LN(2)/25)*BQ84+(1-EXP(-LN(2)/25))/(LN(2)/25)*Calculateur!BL85*Calculateur!BN85*VLOOKUP('Données projet'!$B$11,Paramètres!$A$1:$I$89,3,0)*0.475*44/12</f>
        <v>14.184309998939961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48.629721395103168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394.69391436029986</v>
      </c>
      <c r="T86" s="62">
        <f t="shared" si="88"/>
        <v>311.37245656657353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230.27879791781211</v>
      </c>
      <c r="AA86" s="23">
        <f>EXP(-LN(2)/25)*AA85+(1-EXP(-LN(2)/25))/(LN(2)/25)*Calculateur!V86*Calculateur!X86*VLOOKUP('Données projet'!$B$9,Paramètres!$A$1:$I$89,3,0)*0.475*44/12</f>
        <v>2.0547140078003356</v>
      </c>
      <c r="AB86" s="23">
        <f>EXP(-LN(2)/2)*AB85+(1-EXP(-LN(2)/2))/(LN(2)/2)*V86*Y86*VLOOKUP('Données projet'!$B$9,Paramètres!$A$1:$I$89,3,0)*0.475*44/12</f>
        <v>40.90464413984737</v>
      </c>
      <c r="AC86" s="24">
        <f t="shared" si="57"/>
        <v>273.2381560654598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5.6843418860808015E-14</v>
      </c>
      <c r="AJ86" s="14">
        <f>AI86*VLOOKUP('Données projet'!$B$10,Paramètres!$A$1:$I$89,3,0)*VLOOKUP('Données projet'!$B$10,Paramètres!$A$1:$I$89,5,0)</f>
        <v>2.6602720026858149E-14</v>
      </c>
      <c r="AK86" s="14">
        <f t="shared" si="89"/>
        <v>4.6624771586320878E-13</v>
      </c>
      <c r="AL86" s="22">
        <f t="shared" si="58"/>
        <v>8.583811758418665E-13</v>
      </c>
      <c r="AM86" s="62">
        <f t="shared" si="59"/>
        <v>271.88474547710433</v>
      </c>
      <c r="AN86" s="62">
        <f ca="1">AVERAGE(OFFSET($AM$3,0,0,'Données projet'!$E$10+1,1))-AVERAGE(OFFSET($H$3,0,0,'Données projet'!$E$10+1,1))</f>
        <v>215.50514301701057</v>
      </c>
      <c r="AO86" s="62">
        <f t="shared" si="90"/>
        <v>273.18950868898253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85.683238058191847</v>
      </c>
      <c r="AV86" s="23">
        <f>EXP(-LN(2)/25)*AV85+(1-EXP(-LN(2)/25))/(LN(2)/25)*Calculateur!AQ86*Calculateur!AS86*VLOOKUP('Données projet'!$B$10,Paramètres!$A$1:$I$89,3,0)*0.475*44/12</f>
        <v>1.736166633082612</v>
      </c>
      <c r="AW86" s="23">
        <f>EXP(-LN(2)/2)*AW85+(1-EXP(-LN(2)/2))/(LN(2)/2)*AQ86*AT86*VLOOKUP('Données projet'!$B$10,Paramètres!$A$1:$I$89,3,0)*0.475*44/12</f>
        <v>1.0112041085254842E-2</v>
      </c>
      <c r="AX86" s="23">
        <f t="shared" si="60"/>
        <v>87.429516732359716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5.8</v>
      </c>
      <c r="BD86" s="13">
        <f>IF('Données projet'!$A$88&gt;35,BD85+BC86-BL85,IF(A86&lt;'Données projet'!$A$88,$BA$205^A86,IF(A86='Données projet'!$A$88,'Données projet'!$B$88,BD85+BC86-BL85)))</f>
        <v>257.39999999999992</v>
      </c>
      <c r="BE86" s="14">
        <f>BD86*VLOOKUP('Données projet'!$B$11,Paramètres!$A$1:$I$89,3,0)*VLOOKUP('Données projet'!$B$11,Paramètres!$A$1:$I$89,5,0)</f>
        <v>261.00359999999995</v>
      </c>
      <c r="BF86" s="14">
        <f t="shared" si="91"/>
        <v>62.936256929541173</v>
      </c>
      <c r="BG86" s="22">
        <f t="shared" si="61"/>
        <v>564.19525081895074</v>
      </c>
      <c r="BH86" s="62">
        <f t="shared" si="62"/>
        <v>836.07999629605422</v>
      </c>
      <c r="BI86" s="62">
        <f ca="1">AVERAGE(OFFSET($BH$3,0,0,'Données projet'!$E$11+1,1))-AVERAGE(OFFSET($H$3,0,0,'Données projet'!$E$11+1,1))</f>
        <v>396.06968288200386</v>
      </c>
      <c r="BJ86" s="62">
        <f t="shared" si="92"/>
        <v>273.35778700650792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33.76995788831087</v>
      </c>
      <c r="BQ86" s="23">
        <f>EXP(-LN(2)/25)*BQ85+(1-EXP(-LN(2)/25))/(LN(2)/25)*Calculateur!BL86*Calculateur!BN86*VLOOKUP('Données projet'!$B$11,Paramètres!$A$1:$I$89,3,0)*0.475*44/12</f>
        <v>13.796439296098503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47.566397184409375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394.69391436029986</v>
      </c>
      <c r="T87" s="62">
        <f t="shared" si="88"/>
        <v>311.37245656657353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225.76317114684164</v>
      </c>
      <c r="AA87" s="23">
        <f>EXP(-LN(2)/25)*AA86+(1-EXP(-LN(2)/25))/(LN(2)/25)*Calculateur!V87*Calculateur!X87*VLOOKUP('Données projet'!$B$9,Paramètres!$A$1:$I$89,3,0)*0.475*44/12</f>
        <v>1.998527745204322</v>
      </c>
      <c r="AB87" s="23">
        <f>EXP(-LN(2)/2)*AB86+(1-EXP(-LN(2)/2))/(LN(2)/2)*V87*Y87*VLOOKUP('Données projet'!$B$9,Paramètres!$A$1:$I$89,3,0)*0.475*44/12</f>
        <v>28.923951253308651</v>
      </c>
      <c r="AC87" s="24">
        <f t="shared" si="57"/>
        <v>256.6856501453546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5.6843418860808015E-14</v>
      </c>
      <c r="AJ87" s="14">
        <f>AI87*VLOOKUP('Données projet'!$B$10,Paramètres!$A$1:$I$89,3,0)*VLOOKUP('Données projet'!$B$10,Paramètres!$A$1:$I$89,5,0)</f>
        <v>2.6602720026858149E-14</v>
      </c>
      <c r="AK87" s="14">
        <f t="shared" si="89"/>
        <v>4.6624771586320878E-13</v>
      </c>
      <c r="AL87" s="22">
        <f t="shared" si="58"/>
        <v>8.583811758418665E-13</v>
      </c>
      <c r="AM87" s="62">
        <f t="shared" si="59"/>
        <v>272.25683052455116</v>
      </c>
      <c r="AN87" s="62">
        <f ca="1">AVERAGE(OFFSET($AM$3,0,0,'Données projet'!$E$10+1,1))-AVERAGE(OFFSET($H$3,0,0,'Données projet'!$E$10+1,1))</f>
        <v>215.50514301701057</v>
      </c>
      <c r="AO87" s="62">
        <f t="shared" si="90"/>
        <v>273.18950868898253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84.003042021485513</v>
      </c>
      <c r="AV87" s="23">
        <f>EXP(-LN(2)/25)*AV86+(1-EXP(-LN(2)/25))/(LN(2)/25)*Calculateur!AQ87*Calculateur!AS87*VLOOKUP('Données projet'!$B$10,Paramètres!$A$1:$I$89,3,0)*0.475*44/12</f>
        <v>1.6886910651999327</v>
      </c>
      <c r="AW87" s="23">
        <f>EXP(-LN(2)/2)*AW86+(1-EXP(-LN(2)/2))/(LN(2)/2)*AQ87*AT87*VLOOKUP('Données projet'!$B$10,Paramètres!$A$1:$I$89,3,0)*0.475*44/12</f>
        <v>7.1502928230206741E-3</v>
      </c>
      <c r="AX87" s="23">
        <f t="shared" si="60"/>
        <v>85.698883379508473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5.8</v>
      </c>
      <c r="BD87" s="13">
        <f>IF('Données projet'!$A$88&gt;35,BD86+BC87-BL86,IF(A87&lt;'Données projet'!$A$88,$BA$205^A87,IF(A87='Données projet'!$A$88,'Données projet'!$B$88,BD86+BC87-BL86)))</f>
        <v>263.19999999999993</v>
      </c>
      <c r="BE87" s="14">
        <f>BD87*VLOOKUP('Données projet'!$B$11,Paramètres!$A$1:$I$89,3,0)*VLOOKUP('Données projet'!$B$11,Paramètres!$A$1:$I$89,5,0)</f>
        <v>266.88479999999993</v>
      </c>
      <c r="BF87" s="14">
        <f t="shared" si="91"/>
        <v>64.18769936370569</v>
      </c>
      <c r="BG87" s="22">
        <f t="shared" si="61"/>
        <v>576.61793639178723</v>
      </c>
      <c r="BH87" s="62">
        <f t="shared" si="62"/>
        <v>848.87476691633753</v>
      </c>
      <c r="BI87" s="62">
        <f ca="1">AVERAGE(OFFSET($BH$3,0,0,'Données projet'!$E$11+1,1))-AVERAGE(OFFSET($H$3,0,0,'Données projet'!$E$11+1,1))</f>
        <v>396.06968288200386</v>
      </c>
      <c r="BJ87" s="62">
        <f t="shared" si="92"/>
        <v>273.35778700650792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33.107749611761555</v>
      </c>
      <c r="BQ87" s="23">
        <f>EXP(-LN(2)/25)*BQ86+(1-EXP(-LN(2)/25))/(LN(2)/25)*Calculateur!BL87*Calculateur!BN87*VLOOKUP('Données projet'!$B$11,Paramètres!$A$1:$I$89,3,0)*0.475*44/12</f>
        <v>13.419174938023479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46.526924549785036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394.69391436029986</v>
      </c>
      <c r="T88" s="62">
        <f t="shared" si="88"/>
        <v>311.37245656657353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221.33609306258955</v>
      </c>
      <c r="AA88" s="23">
        <f>EXP(-LN(2)/25)*AA87+(1-EXP(-LN(2)/25))/(LN(2)/25)*Calculateur!V88*Calculateur!X88*VLOOKUP('Données projet'!$B$9,Paramètres!$A$1:$I$89,3,0)*0.475*44/12</f>
        <v>1.9438778989137033</v>
      </c>
      <c r="AB88" s="23">
        <f>EXP(-LN(2)/2)*AB87+(1-EXP(-LN(2)/2))/(LN(2)/2)*V88*Y88*VLOOKUP('Données projet'!$B$9,Paramètres!$A$1:$I$89,3,0)*0.475*44/12</f>
        <v>20.452322069923689</v>
      </c>
      <c r="AC88" s="24">
        <f t="shared" si="57"/>
        <v>243.73229303142696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5.6843418860808015E-14</v>
      </c>
      <c r="AJ88" s="14">
        <f>AI88*VLOOKUP('Données projet'!$B$10,Paramètres!$A$1:$I$89,3,0)*VLOOKUP('Données projet'!$B$10,Paramètres!$A$1:$I$89,5,0)</f>
        <v>2.6602720026858149E-14</v>
      </c>
      <c r="AK88" s="14">
        <f t="shared" si="89"/>
        <v>4.6624771586320878E-13</v>
      </c>
      <c r="AL88" s="22">
        <f t="shared" si="58"/>
        <v>8.583811758418665E-13</v>
      </c>
      <c r="AM88" s="62">
        <f t="shared" si="59"/>
        <v>272.62246072828236</v>
      </c>
      <c r="AN88" s="62">
        <f ca="1">AVERAGE(OFFSET($AM$3,0,0,'Données projet'!$E$10+1,1))-AVERAGE(OFFSET($H$3,0,0,'Données projet'!$E$10+1,1))</f>
        <v>215.50514301701057</v>
      </c>
      <c r="AO88" s="62">
        <f t="shared" si="90"/>
        <v>273.18950868898253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82.355793604240603</v>
      </c>
      <c r="AV88" s="23">
        <f>EXP(-LN(2)/25)*AV87+(1-EXP(-LN(2)/25))/(LN(2)/25)*Calculateur!AQ88*Calculateur!AS88*VLOOKUP('Données projet'!$B$10,Paramètres!$A$1:$I$89,3,0)*0.475*44/12</f>
        <v>1.6425137192176371</v>
      </c>
      <c r="AW88" s="23">
        <f>EXP(-LN(2)/2)*AW87+(1-EXP(-LN(2)/2))/(LN(2)/2)*AQ88*AT88*VLOOKUP('Données projet'!$B$10,Paramètres!$A$1:$I$89,3,0)*0.475*44/12</f>
        <v>5.0560205426274209E-3</v>
      </c>
      <c r="AX88" s="23">
        <f t="shared" si="60"/>
        <v>84.00336334400086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>
        <f>VLOOKUP(A88,'Données projet'!$A$87:$I$107,2,0)</f>
        <v>269</v>
      </c>
      <c r="BB88" s="13">
        <f>VLOOKUP(A88,'Données projet'!$A$87:$I$107,9,0)</f>
        <v>5.8</v>
      </c>
      <c r="BC88" s="13">
        <f t="array" ref="BC88">INDEX(BB:BB,MIN(IF(ISNUMBER(BB88:BB284),ROW(BB88:BB284),"")))</f>
        <v>5.8</v>
      </c>
      <c r="BD88" s="13">
        <f>IF('Données projet'!$A$88&gt;35,BD87+BC88-BL87,IF(A88&lt;'Données projet'!$A$88,$BA$205^A88,IF(A88='Données projet'!$A$88,'Données projet'!$B$88,BD87+BC88-BL87)))</f>
        <v>268.99999999999994</v>
      </c>
      <c r="BE88" s="14">
        <f>BD88*VLOOKUP('Données projet'!$B$11,Paramètres!$A$1:$I$89,3,0)*VLOOKUP('Données projet'!$B$11,Paramètres!$A$1:$I$89,5,0)</f>
        <v>272.76599999999996</v>
      </c>
      <c r="BF88" s="14">
        <f t="shared" si="91"/>
        <v>65.43593563008757</v>
      </c>
      <c r="BG88" s="22">
        <f t="shared" si="61"/>
        <v>589.03503788906914</v>
      </c>
      <c r="BH88" s="62">
        <f t="shared" si="62"/>
        <v>861.65749861735071</v>
      </c>
      <c r="BI88" s="62">
        <f ca="1">AVERAGE(OFFSET($BH$3,0,0,'Données projet'!$E$11+1,1))-AVERAGE(OFFSET($H$3,0,0,'Données projet'!$E$11+1,1))</f>
        <v>396.06968288200386</v>
      </c>
      <c r="BJ88" s="62">
        <f t="shared" si="92"/>
        <v>273.35778700650792</v>
      </c>
      <c r="BK88" s="16">
        <f>IF(ISNA(VLOOKUP(A88,'Données projet'!$A$87:$I$107,3,0)),0,VLOOKUP(A88,'Données projet'!$A$87:$I$107,3,0))</f>
        <v>13</v>
      </c>
      <c r="BL88" s="16">
        <f>IF(ISNA(VLOOKUP(A88,'Données projet'!$A$87:$I$107,4,0)),0,VLOOKUP(A88,'Données projet'!$A$87:$I$107,4,0))</f>
        <v>21</v>
      </c>
      <c r="BM88" s="17">
        <f>IF(ISNA(VLOOKUP(A88,'Données projet'!$A$87:$I$107,5,0)),0%,VLOOKUP(A88,'Données projet'!$A$87:$I$107,5,0)*VLOOKUP('Données projet'!$B$11,Paramètres!$A$1:$I$89,7,0))</f>
        <v>0.32250000000000001</v>
      </c>
      <c r="BN88" s="17">
        <f>IF(ISNA(VLOOKUP(A88,'Données projet'!$A$87:$I$107,6,0)),0%,VLOOKUP(A88,'Données projet'!$A$87:$I$107,6,0)*VLOOKUP('Données projet'!$B$11,Paramètres!$A$1:$I$89,7,0))</f>
        <v>0.1075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40.050140155030533</v>
      </c>
      <c r="BQ88" s="23">
        <f>EXP(-LN(2)/25)*BQ87+(1-EXP(-LN(2)/25))/(LN(2)/25)*Calculateur!BL88*Calculateur!BN88*VLOOKUP('Données projet'!$B$11,Paramètres!$A$1:$I$89,3,0)*0.475*44/12</f>
        <v>15.572800975376921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55.622941130407455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394.69391436029986</v>
      </c>
      <c r="T89" s="62">
        <f t="shared" si="88"/>
        <v>311.37245656657353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216.99582727931863</v>
      </c>
      <c r="AA89" s="23">
        <f>EXP(-LN(2)/25)*AA88+(1-EXP(-LN(2)/25))/(LN(2)/25)*Calculateur!V89*Calculateur!X89*VLOOKUP('Données projet'!$B$9,Paramètres!$A$1:$I$89,3,0)*0.475*44/12</f>
        <v>1.8907224555438122</v>
      </c>
      <c r="AB89" s="23">
        <f>EXP(-LN(2)/2)*AB88+(1-EXP(-LN(2)/2))/(LN(2)/2)*V89*Y89*VLOOKUP('Données projet'!$B$9,Paramètres!$A$1:$I$89,3,0)*0.475*44/12</f>
        <v>14.461975626654327</v>
      </c>
      <c r="AC89" s="24">
        <f t="shared" si="57"/>
        <v>233.34852536151678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5.6843418860808015E-14</v>
      </c>
      <c r="AJ89" s="14">
        <f>AI89*VLOOKUP('Données projet'!$B$10,Paramètres!$A$1:$I$89,3,0)*VLOOKUP('Données projet'!$B$10,Paramètres!$A$1:$I$89,5,0)</f>
        <v>2.6602720026858149E-14</v>
      </c>
      <c r="AK89" s="14">
        <f t="shared" si="89"/>
        <v>4.6624771586320878E-13</v>
      </c>
      <c r="AL89" s="22">
        <f t="shared" si="58"/>
        <v>8.583811758418665E-13</v>
      </c>
      <c r="AM89" s="62">
        <f t="shared" si="59"/>
        <v>272.98174806540555</v>
      </c>
      <c r="AN89" s="62">
        <f ca="1">AVERAGE(OFFSET($AM$3,0,0,'Données projet'!$E$10+1,1))-AVERAGE(OFFSET($H$3,0,0,'Données projet'!$E$10+1,1))</f>
        <v>215.50514301701057</v>
      </c>
      <c r="AO89" s="62">
        <f t="shared" si="90"/>
        <v>273.18950868898253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80.740846723735544</v>
      </c>
      <c r="AV89" s="23">
        <f>EXP(-LN(2)/25)*AV88+(1-EXP(-LN(2)/25))/(LN(2)/25)*Calculateur!AQ89*Calculateur!AS89*VLOOKUP('Données projet'!$B$10,Paramètres!$A$1:$I$89,3,0)*0.475*44/12</f>
        <v>1.5975990951895884</v>
      </c>
      <c r="AW89" s="23">
        <f>EXP(-LN(2)/2)*AW88+(1-EXP(-LN(2)/2))/(LN(2)/2)*AQ89*AT89*VLOOKUP('Données projet'!$B$10,Paramètres!$A$1:$I$89,3,0)*0.475*44/12</f>
        <v>3.5751464115103371E-3</v>
      </c>
      <c r="AX89" s="23">
        <f t="shared" si="60"/>
        <v>82.342020965336644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5.4</v>
      </c>
      <c r="BD89" s="13">
        <f>IF('Données projet'!$A$88&gt;35,BD88+BC89-BL88,IF(A89&lt;'Données projet'!$A$88,$BA$205^A89,IF(A89='Données projet'!$A$88,'Données projet'!$B$88,BD88+BC89-BL88)))</f>
        <v>253.39999999999992</v>
      </c>
      <c r="BE89" s="14">
        <f>BD89*VLOOKUP('Données projet'!$B$11,Paramètres!$A$1:$I$89,3,0)*VLOOKUP('Données projet'!$B$11,Paramètres!$A$1:$I$89,5,0)</f>
        <v>256.94759999999991</v>
      </c>
      <c r="BF89" s="14">
        <f t="shared" si="91"/>
        <v>62.071283104858246</v>
      </c>
      <c r="BG89" s="22">
        <f t="shared" si="61"/>
        <v>555.62455474096134</v>
      </c>
      <c r="BH89" s="62">
        <f t="shared" si="62"/>
        <v>828.6063028063661</v>
      </c>
      <c r="BI89" s="62">
        <f ca="1">AVERAGE(OFFSET($BH$3,0,0,'Données projet'!$E$11+1,1))-AVERAGE(OFFSET($H$3,0,0,'Données projet'!$E$11+1,1))</f>
        <v>396.06968288200386</v>
      </c>
      <c r="BJ89" s="62">
        <f t="shared" si="92"/>
        <v>273.35778700650792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39.264781334763796</v>
      </c>
      <c r="BQ89" s="23">
        <f>EXP(-LN(2)/25)*BQ88+(1-EXP(-LN(2)/25))/(LN(2)/25)*Calculateur!BL89*Calculateur!BN89*VLOOKUP('Données projet'!$B$11,Paramètres!$A$1:$I$89,3,0)*0.475*44/12</f>
        <v>15.146961913767228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54.411743248531025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394.69391436029986</v>
      </c>
      <c r="T90" s="62">
        <f t="shared" si="88"/>
        <v>311.37245656657353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212.74067146075691</v>
      </c>
      <c r="AA90" s="23">
        <f>EXP(-LN(2)/25)*AA89+(1-EXP(-LN(2)/25))/(LN(2)/25)*Calculateur!V90*Calculateur!X90*VLOOKUP('Données projet'!$B$9,Paramètres!$A$1:$I$89,3,0)*0.475*44/12</f>
        <v>1.839020550568194</v>
      </c>
      <c r="AB90" s="23">
        <f>EXP(-LN(2)/2)*AB89+(1-EXP(-LN(2)/2))/(LN(2)/2)*V90*Y90*VLOOKUP('Données projet'!$B$9,Paramètres!$A$1:$I$89,3,0)*0.475*44/12</f>
        <v>10.226161034961846</v>
      </c>
      <c r="AC90" s="24">
        <f t="shared" si="57"/>
        <v>224.80585304628696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5.6843418860808015E-14</v>
      </c>
      <c r="AJ90" s="14">
        <f>AI90*VLOOKUP('Données projet'!$B$10,Paramètres!$A$1:$I$89,3,0)*VLOOKUP('Données projet'!$B$10,Paramètres!$A$1:$I$89,5,0)</f>
        <v>2.6602720026858149E-14</v>
      </c>
      <c r="AK90" s="14">
        <f t="shared" si="89"/>
        <v>4.6624771586320878E-13</v>
      </c>
      <c r="AL90" s="22">
        <f t="shared" si="58"/>
        <v>8.583811758418665E-13</v>
      </c>
      <c r="AM90" s="62">
        <f t="shared" si="59"/>
        <v>273.33480257047569</v>
      </c>
      <c r="AN90" s="62">
        <f ca="1">AVERAGE(OFFSET($AM$3,0,0,'Données projet'!$E$10+1,1))-AVERAGE(OFFSET($H$3,0,0,'Données projet'!$E$10+1,1))</f>
        <v>215.50514301701057</v>
      </c>
      <c r="AO90" s="62">
        <f t="shared" si="90"/>
        <v>273.18950868898253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79.157567966536845</v>
      </c>
      <c r="AV90" s="23">
        <f>EXP(-LN(2)/25)*AV89+(1-EXP(-LN(2)/25))/(LN(2)/25)*Calculateur!AQ90*Calculateur!AS90*VLOOKUP('Données projet'!$B$10,Paramètres!$A$1:$I$89,3,0)*0.475*44/12</f>
        <v>1.553912663917544</v>
      </c>
      <c r="AW90" s="23">
        <f>EXP(-LN(2)/2)*AW89+(1-EXP(-LN(2)/2))/(LN(2)/2)*AQ90*AT90*VLOOKUP('Données projet'!$B$10,Paramètres!$A$1:$I$89,3,0)*0.475*44/12</f>
        <v>2.5280102713137105E-3</v>
      </c>
      <c r="AX90" s="23">
        <f t="shared" si="60"/>
        <v>80.714008640725709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5.4</v>
      </c>
      <c r="BD90" s="13">
        <f>IF('Données projet'!$A$88&gt;35,BD89+BC90-BL89,IF(A90&lt;'Données projet'!$A$88,$BA$205^A90,IF(A90='Données projet'!$A$88,'Données projet'!$B$88,BD89+BC90-BL89)))</f>
        <v>258.7999999999999</v>
      </c>
      <c r="BE90" s="14">
        <f>BD90*VLOOKUP('Données projet'!$B$11,Paramètres!$A$1:$I$89,3,0)*VLOOKUP('Données projet'!$B$11,Paramètres!$A$1:$I$89,5,0)</f>
        <v>262.42319999999989</v>
      </c>
      <c r="BF90" s="14">
        <f t="shared" si="91"/>
        <v>63.238627062047733</v>
      </c>
      <c r="BG90" s="22">
        <f t="shared" si="61"/>
        <v>567.19434879973289</v>
      </c>
      <c r="BH90" s="62">
        <f t="shared" si="62"/>
        <v>840.52915137020773</v>
      </c>
      <c r="BI90" s="62">
        <f ca="1">AVERAGE(OFFSET($BH$3,0,0,'Données projet'!$E$11+1,1))-AVERAGE(OFFSET($H$3,0,0,'Données projet'!$E$11+1,1))</f>
        <v>396.06968288200386</v>
      </c>
      <c r="BJ90" s="62">
        <f t="shared" si="92"/>
        <v>273.35778700650792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38.494822921940909</v>
      </c>
      <c r="BQ90" s="23">
        <f>EXP(-LN(2)/25)*BQ89+(1-EXP(-LN(2)/25))/(LN(2)/25)*Calculateur!BL90*Calculateur!BN90*VLOOKUP('Données projet'!$B$11,Paramètres!$A$1:$I$89,3,0)*0.475*44/12</f>
        <v>14.732767443691156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53.227590365632068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394.69391436029986</v>
      </c>
      <c r="T91" s="62">
        <f t="shared" si="88"/>
        <v>311.37245656657353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208.56895665240842</v>
      </c>
      <c r="AA91" s="23">
        <f>EXP(-LN(2)/25)*AA90+(1-EXP(-LN(2)/25))/(LN(2)/25)*Calculateur!V91*Calculateur!X91*VLOOKUP('Données projet'!$B$9,Paramètres!$A$1:$I$89,3,0)*0.475*44/12</f>
        <v>1.7887324369030191</v>
      </c>
      <c r="AB91" s="23">
        <f>EXP(-LN(2)/2)*AB90+(1-EXP(-LN(2)/2))/(LN(2)/2)*V91*Y91*VLOOKUP('Données projet'!$B$9,Paramètres!$A$1:$I$89,3,0)*0.475*44/12</f>
        <v>7.2309878133271646</v>
      </c>
      <c r="AC91" s="24">
        <f t="shared" si="57"/>
        <v>217.58867690263861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5.6843418860808015E-14</v>
      </c>
      <c r="AJ91" s="14">
        <f>AI91*VLOOKUP('Données projet'!$B$10,Paramètres!$A$1:$I$89,3,0)*VLOOKUP('Données projet'!$B$10,Paramètres!$A$1:$I$89,5,0)</f>
        <v>2.6602720026858149E-14</v>
      </c>
      <c r="AK91" s="14">
        <f t="shared" si="89"/>
        <v>4.6624771586320878E-13</v>
      </c>
      <c r="AL91" s="22">
        <f t="shared" si="58"/>
        <v>8.583811758418665E-13</v>
      </c>
      <c r="AM91" s="62">
        <f t="shared" si="59"/>
        <v>273.68173236919455</v>
      </c>
      <c r="AN91" s="62">
        <f ca="1">AVERAGE(OFFSET($AM$3,0,0,'Données projet'!$E$10+1,1))-AVERAGE(OFFSET($H$3,0,0,'Données projet'!$E$10+1,1))</f>
        <v>215.50514301701057</v>
      </c>
      <c r="AO91" s="62">
        <f t="shared" si="90"/>
        <v>273.18950868898253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77.605336340062124</v>
      </c>
      <c r="AV91" s="23">
        <f>EXP(-LN(2)/25)*AV90+(1-EXP(-LN(2)/25))/(LN(2)/25)*Calculateur!AQ91*Calculateur!AS91*VLOOKUP('Données projet'!$B$10,Paramètres!$A$1:$I$89,3,0)*0.475*44/12</f>
        <v>1.5114208404060032</v>
      </c>
      <c r="AW91" s="23">
        <f>EXP(-LN(2)/2)*AW90+(1-EXP(-LN(2)/2))/(LN(2)/2)*AQ91*AT91*VLOOKUP('Données projet'!$B$10,Paramètres!$A$1:$I$89,3,0)*0.475*44/12</f>
        <v>1.7875732057551685E-3</v>
      </c>
      <c r="AX91" s="23">
        <f t="shared" si="60"/>
        <v>79.118544753673888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5.4</v>
      </c>
      <c r="BD91" s="13">
        <f>IF('Données projet'!$A$88&gt;35,BD90+BC91-BL90,IF(A91&lt;'Données projet'!$A$88,$BA$205^A91,IF(A91='Données projet'!$A$88,'Données projet'!$B$88,BD90+BC91-BL90)))</f>
        <v>264.19999999999987</v>
      </c>
      <c r="BE91" s="14">
        <f>BD91*VLOOKUP('Données projet'!$B$11,Paramètres!$A$1:$I$89,3,0)*VLOOKUP('Données projet'!$B$11,Paramètres!$A$1:$I$89,5,0)</f>
        <v>267.89879999999988</v>
      </c>
      <c r="BF91" s="14">
        <f t="shared" si="91"/>
        <v>64.403139057834508</v>
      </c>
      <c r="BG91" s="22">
        <f t="shared" si="61"/>
        <v>578.75921052572812</v>
      </c>
      <c r="BH91" s="62">
        <f t="shared" si="62"/>
        <v>852.44094289492182</v>
      </c>
      <c r="BI91" s="62">
        <f ca="1">AVERAGE(OFFSET($BH$3,0,0,'Données projet'!$E$11+1,1))-AVERAGE(OFFSET($H$3,0,0,'Données projet'!$E$11+1,1))</f>
        <v>396.06968288200386</v>
      </c>
      <c r="BJ91" s="62">
        <f t="shared" si="92"/>
        <v>273.35778700650792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37.739962923965223</v>
      </c>
      <c r="BQ91" s="23">
        <f>EXP(-LN(2)/25)*BQ90+(1-EXP(-LN(2)/25))/(LN(2)/25)*Calculateur!BL91*Calculateur!BN91*VLOOKUP('Données projet'!$B$11,Paramètres!$A$1:$I$89,3,0)*0.475*44/12</f>
        <v>14.329899143180853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52.069862067146076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394.69391436029986</v>
      </c>
      <c r="T92" s="62">
        <f t="shared" si="88"/>
        <v>311.37245656657353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204.47904662695686</v>
      </c>
      <c r="AA92" s="23">
        <f>EXP(-LN(2)/25)*AA91+(1-EXP(-LN(2)/25))/(LN(2)/25)*Calculateur!V92*Calculateur!X92*VLOOKUP('Données projet'!$B$9,Paramètres!$A$1:$I$89,3,0)*0.475*44/12</f>
        <v>1.7398194543505554</v>
      </c>
      <c r="AB92" s="23">
        <f>EXP(-LN(2)/2)*AB91+(1-EXP(-LN(2)/2))/(LN(2)/2)*V92*Y92*VLOOKUP('Données projet'!$B$9,Paramètres!$A$1:$I$89,3,0)*0.475*44/12</f>
        <v>5.1130805174809231</v>
      </c>
      <c r="AC92" s="24">
        <f t="shared" si="57"/>
        <v>211.33194659878833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5.6843418860808015E-14</v>
      </c>
      <c r="AJ92" s="14">
        <f>AI92*VLOOKUP('Données projet'!$B$10,Paramètres!$A$1:$I$89,3,0)*VLOOKUP('Données projet'!$B$10,Paramètres!$A$1:$I$89,5,0)</f>
        <v>2.6602720026858149E-14</v>
      </c>
      <c r="AK92" s="14">
        <f t="shared" si="89"/>
        <v>4.6624771586320878E-13</v>
      </c>
      <c r="AL92" s="22">
        <f t="shared" si="58"/>
        <v>8.583811758418665E-13</v>
      </c>
      <c r="AM92" s="62">
        <f t="shared" si="59"/>
        <v>274.02264371152444</v>
      </c>
      <c r="AN92" s="62">
        <f ca="1">AVERAGE(OFFSET($AM$3,0,0,'Données projet'!$E$10+1,1))-AVERAGE(OFFSET($H$3,0,0,'Données projet'!$E$10+1,1))</f>
        <v>215.50514301701057</v>
      </c>
      <c r="AO92" s="62">
        <f t="shared" si="90"/>
        <v>273.18950868898253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76.083543029014777</v>
      </c>
      <c r="AV92" s="23">
        <f>EXP(-LN(2)/25)*AV91+(1-EXP(-LN(2)/25))/(LN(2)/25)*Calculateur!AQ92*Calculateur!AS92*VLOOKUP('Données projet'!$B$10,Paramètres!$A$1:$I$89,3,0)*0.475*44/12</f>
        <v>1.4700909580429335</v>
      </c>
      <c r="AW92" s="23">
        <f>EXP(-LN(2)/2)*AW91+(1-EXP(-LN(2)/2))/(LN(2)/2)*AQ92*AT92*VLOOKUP('Données projet'!$B$10,Paramètres!$A$1:$I$89,3,0)*0.475*44/12</f>
        <v>1.2640051356568552E-3</v>
      </c>
      <c r="AX92" s="23">
        <f t="shared" si="60"/>
        <v>77.554897992193361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5.4</v>
      </c>
      <c r="BD92" s="13">
        <f>IF('Données projet'!$A$88&gt;35,BD91+BC92-BL91,IF(A92&lt;'Données projet'!$A$88,$BA$205^A92,IF(A92='Données projet'!$A$88,'Données projet'!$B$88,BD91+BC92-BL91)))</f>
        <v>269.59999999999985</v>
      </c>
      <c r="BE92" s="14">
        <f>BD92*VLOOKUP('Données projet'!$B$11,Paramètres!$A$1:$I$89,3,0)*VLOOKUP('Données projet'!$B$11,Paramètres!$A$1:$I$89,5,0)</f>
        <v>273.37439999999987</v>
      </c>
      <c r="BF92" s="14">
        <f t="shared" si="91"/>
        <v>65.564883644654373</v>
      </c>
      <c r="BG92" s="22">
        <f t="shared" si="61"/>
        <v>590.3192523477727</v>
      </c>
      <c r="BH92" s="62">
        <f t="shared" si="62"/>
        <v>864.34189605929623</v>
      </c>
      <c r="BI92" s="62">
        <f ca="1">AVERAGE(OFFSET($BH$3,0,0,'Données projet'!$E$11+1,1))-AVERAGE(OFFSET($H$3,0,0,'Données projet'!$E$11+1,1))</f>
        <v>396.06968288200386</v>
      </c>
      <c r="BJ92" s="62">
        <f t="shared" si="92"/>
        <v>273.35778700650792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36.999905270130704</v>
      </c>
      <c r="BQ92" s="23">
        <f>EXP(-LN(2)/25)*BQ91+(1-EXP(-LN(2)/25))/(LN(2)/25)*Calculateur!BL92*Calculateur!BN92*VLOOKUP('Données projet'!$B$11,Paramètres!$A$1:$I$89,3,0)*0.475*44/12</f>
        <v>13.938047297533927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50.937952567664631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394.69391436029986</v>
      </c>
      <c r="T93" s="62">
        <f t="shared" si="88"/>
        <v>311.37245656657353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200.46933724250562</v>
      </c>
      <c r="AA93" s="23">
        <f>EXP(-LN(2)/25)*AA92+(1-EXP(-LN(2)/25))/(LN(2)/25)*Calculateur!V93*Calculateur!X93*VLOOKUP('Données projet'!$B$9,Paramètres!$A$1:$I$89,3,0)*0.475*44/12</f>
        <v>1.6922439998782108</v>
      </c>
      <c r="AB93" s="23">
        <f>EXP(-LN(2)/2)*AB92+(1-EXP(-LN(2)/2))/(LN(2)/2)*V93*Y93*VLOOKUP('Données projet'!$B$9,Paramètres!$A$1:$I$89,3,0)*0.475*44/12</f>
        <v>3.6154939066635823</v>
      </c>
      <c r="AC93" s="24">
        <f t="shared" si="57"/>
        <v>205.77707514904739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5.6843418860808015E-14</v>
      </c>
      <c r="AJ93" s="14">
        <f>AI93*VLOOKUP('Données projet'!$B$10,Paramètres!$A$1:$I$89,3,0)*VLOOKUP('Données projet'!$B$10,Paramètres!$A$1:$I$89,5,0)</f>
        <v>2.6602720026858149E-14</v>
      </c>
      <c r="AK93" s="14">
        <f t="shared" si="89"/>
        <v>4.6624771586320878E-13</v>
      </c>
      <c r="AL93" s="22">
        <f t="shared" si="58"/>
        <v>8.583811758418665E-13</v>
      </c>
      <c r="AM93" s="62">
        <f t="shared" si="59"/>
        <v>274.35764100422853</v>
      </c>
      <c r="AN93" s="62">
        <f ca="1">AVERAGE(OFFSET($AM$3,0,0,'Données projet'!$E$10+1,1))-AVERAGE(OFFSET($H$3,0,0,'Données projet'!$E$10+1,1))</f>
        <v>215.50514301701057</v>
      </c>
      <c r="AO93" s="62">
        <f t="shared" si="90"/>
        <v>273.18950868898253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74.591591156594802</v>
      </c>
      <c r="AV93" s="23">
        <f>EXP(-LN(2)/25)*AV92+(1-EXP(-LN(2)/25))/(LN(2)/25)*Calculateur!AQ93*Calculateur!AS93*VLOOKUP('Données projet'!$B$10,Paramètres!$A$1:$I$89,3,0)*0.475*44/12</f>
        <v>1.4298912434865261</v>
      </c>
      <c r="AW93" s="23">
        <f>EXP(-LN(2)/2)*AW92+(1-EXP(-LN(2)/2))/(LN(2)/2)*AQ93*AT93*VLOOKUP('Données projet'!$B$10,Paramètres!$A$1:$I$89,3,0)*0.475*44/12</f>
        <v>8.9378660287758426E-4</v>
      </c>
      <c r="AX93" s="23">
        <f t="shared" si="60"/>
        <v>76.022376186684198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275</v>
      </c>
      <c r="BB93" s="13">
        <f>VLOOKUP(A93,'Données projet'!$A$87:$I$107,9,0)</f>
        <v>5.4</v>
      </c>
      <c r="BC93" s="13">
        <f t="array" ref="BC93">INDEX(BB:BB,MIN(IF(ISNUMBER(BB93:BB289),ROW(BB93:BB289),"")))</f>
        <v>5.4</v>
      </c>
      <c r="BD93" s="13">
        <f>IF('Données projet'!$A$88&gt;35,BD92+BC93-BL92,IF(A93&lt;'Données projet'!$A$88,$BA$205^A93,IF(A93='Données projet'!$A$88,'Données projet'!$B$88,BD92+BC93-BL92)))</f>
        <v>274.99999999999983</v>
      </c>
      <c r="BE93" s="14">
        <f>BD93*VLOOKUP('Données projet'!$B$11,Paramètres!$A$1:$I$89,3,0)*VLOOKUP('Données projet'!$B$11,Paramètres!$A$1:$I$89,5,0)</f>
        <v>278.84999999999985</v>
      </c>
      <c r="BF93" s="14">
        <f t="shared" si="91"/>
        <v>66.723922641152967</v>
      </c>
      <c r="BG93" s="22">
        <f t="shared" si="61"/>
        <v>601.87458193334112</v>
      </c>
      <c r="BH93" s="62">
        <f t="shared" si="62"/>
        <v>876.23222293756885</v>
      </c>
      <c r="BI93" s="62">
        <f ca="1">AVERAGE(OFFSET($BH$3,0,0,'Données projet'!$E$11+1,1))-AVERAGE(OFFSET($H$3,0,0,'Données projet'!$E$11+1,1))</f>
        <v>396.06968288200386</v>
      </c>
      <c r="BJ93" s="62">
        <f t="shared" si="92"/>
        <v>273.35778700650792</v>
      </c>
      <c r="BK93" s="16">
        <f>IF(ISNA(VLOOKUP(A93,'Données projet'!$A$87:$I$107,3,0)),0,VLOOKUP(A93,'Données projet'!$A$87:$I$107,3,0))</f>
        <v>14</v>
      </c>
      <c r="BL93" s="16">
        <f>IF(ISNA(VLOOKUP(A93,'Données projet'!$A$87:$I$107,4,0)),0,VLOOKUP(A93,'Données projet'!$A$87:$I$107,4,0))</f>
        <v>21</v>
      </c>
      <c r="BM93" s="17">
        <f>IF(ISNA(VLOOKUP(A93,'Données projet'!$A$87:$I$107,5,0)),0%,VLOOKUP(A93,'Données projet'!$A$87:$I$107,5,0)*VLOOKUP('Données projet'!$B$11,Paramètres!$A$1:$I$89,7,0))</f>
        <v>0.32250000000000001</v>
      </c>
      <c r="BN93" s="17">
        <f>IF(ISNA(VLOOKUP(A93,'Données projet'!$A$87:$I$107,6,0)),0%,VLOOKUP(A93,'Données projet'!$A$87:$I$107,6,0)*VLOOKUP('Données projet'!$B$11,Paramètres!$A$1:$I$89,7,0))</f>
        <v>0.1075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43.865973014919604</v>
      </c>
      <c r="BQ93" s="23">
        <f>EXP(-LN(2)/25)*BQ92+(1-EXP(-LN(2)/25))/(LN(2)/25)*Calculateur!BL93*Calculateur!BN93*VLOOKUP('Données projet'!$B$11,Paramètres!$A$1:$I$89,3,0)*0.475*44/12</f>
        <v>16.077484742930245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59.943457757849849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394.69391436029986</v>
      </c>
      <c r="T94" s="62">
        <f t="shared" si="88"/>
        <v>311.37245656657353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196.53825581340223</v>
      </c>
      <c r="AA94" s="23">
        <f>EXP(-LN(2)/25)*AA93+(1-EXP(-LN(2)/25))/(LN(2)/25)*Calculateur!V94*Calculateur!X94*VLOOKUP('Données projet'!$B$9,Paramètres!$A$1:$I$89,3,0)*0.475*44/12</f>
        <v>1.6459694987102969</v>
      </c>
      <c r="AB94" s="23">
        <f>EXP(-LN(2)/2)*AB93+(1-EXP(-LN(2)/2))/(LN(2)/2)*V94*Y94*VLOOKUP('Données projet'!$B$9,Paramètres!$A$1:$I$89,3,0)*0.475*44/12</f>
        <v>2.5565402587404615</v>
      </c>
      <c r="AC94" s="24">
        <f t="shared" si="57"/>
        <v>200.74076557085297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5.6843418860808015E-14</v>
      </c>
      <c r="AJ94" s="14">
        <f>AI94*VLOOKUP('Données projet'!$B$10,Paramètres!$A$1:$I$89,3,0)*VLOOKUP('Données projet'!$B$10,Paramètres!$A$1:$I$89,5,0)</f>
        <v>2.6602720026858149E-14</v>
      </c>
      <c r="AK94" s="14">
        <f t="shared" si="89"/>
        <v>4.6624771586320878E-13</v>
      </c>
      <c r="AL94" s="22">
        <f t="shared" si="58"/>
        <v>8.583811758418665E-13</v>
      </c>
      <c r="AM94" s="62">
        <f t="shared" si="59"/>
        <v>274.6868268428459</v>
      </c>
      <c r="AN94" s="62">
        <f ca="1">AVERAGE(OFFSET($AM$3,0,0,'Données projet'!$E$10+1,1))-AVERAGE(OFFSET($H$3,0,0,'Données projet'!$E$10+1,1))</f>
        <v>215.50514301701057</v>
      </c>
      <c r="AO94" s="62">
        <f t="shared" si="90"/>
        <v>273.18950868898253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73.128895550392187</v>
      </c>
      <c r="AV94" s="23">
        <f>EXP(-LN(2)/25)*AV93+(1-EXP(-LN(2)/25))/(LN(2)/25)*Calculateur!AQ94*Calculateur!AS94*VLOOKUP('Données projet'!$B$10,Paramètres!$A$1:$I$89,3,0)*0.475*44/12</f>
        <v>1.3907907922386746</v>
      </c>
      <c r="AW94" s="23">
        <f>EXP(-LN(2)/2)*AW93+(1-EXP(-LN(2)/2))/(LN(2)/2)*AQ94*AT94*VLOOKUP('Données projet'!$B$10,Paramètres!$A$1:$I$89,3,0)*0.475*44/12</f>
        <v>6.3200256782842761E-4</v>
      </c>
      <c r="AX94" s="23">
        <f t="shared" si="60"/>
        <v>74.520318345198689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5</v>
      </c>
      <c r="BD94" s="13">
        <f>IF('Données projet'!$A$88&gt;35,BD93+BC94-BL93,IF(A94&lt;'Données projet'!$A$88,$BA$205^A94,IF(A94='Données projet'!$A$88,'Données projet'!$B$88,BD93+BC94-BL93)))</f>
        <v>258.99999999999983</v>
      </c>
      <c r="BE94" s="14">
        <f>BD94*VLOOKUP('Données projet'!$B$11,Paramètres!$A$1:$I$89,3,0)*VLOOKUP('Données projet'!$B$11,Paramètres!$A$1:$I$89,5,0)</f>
        <v>262.62599999999986</v>
      </c>
      <c r="BF94" s="14">
        <f t="shared" si="91"/>
        <v>63.281807230823397</v>
      </c>
      <c r="BG94" s="22">
        <f t="shared" si="61"/>
        <v>567.62276426035044</v>
      </c>
      <c r="BH94" s="62">
        <f t="shared" si="62"/>
        <v>842.30959110319554</v>
      </c>
      <c r="BI94" s="62">
        <f ca="1">AVERAGE(OFFSET($BH$3,0,0,'Données projet'!$E$11+1,1))-AVERAGE(OFFSET($H$3,0,0,'Données projet'!$E$11+1,1))</f>
        <v>396.06968288200386</v>
      </c>
      <c r="BJ94" s="62">
        <f t="shared" si="92"/>
        <v>273.35778700650792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43.005788039698672</v>
      </c>
      <c r="BQ94" s="23">
        <f>EXP(-LN(2)/25)*BQ93+(1-EXP(-LN(2)/25))/(LN(2)/25)*Calculateur!BL94*Calculateur!BN94*VLOOKUP('Données projet'!$B$11,Paramètres!$A$1:$I$89,3,0)*0.475*44/12</f>
        <v>15.637845077156641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58.643633116855312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394.69391436029986</v>
      </c>
      <c r="T95" s="62">
        <f t="shared" si="88"/>
        <v>311.37245656657353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192.68426049340064</v>
      </c>
      <c r="AA95" s="23">
        <f>EXP(-LN(2)/25)*AA94+(1-EXP(-LN(2)/25))/(LN(2)/25)*Calculateur!V95*Calculateur!X95*VLOOKUP('Données projet'!$B$9,Paramètres!$A$1:$I$89,3,0)*0.475*44/12</f>
        <v>1.6009603762102897</v>
      </c>
      <c r="AB95" s="23">
        <f>EXP(-LN(2)/2)*AB94+(1-EXP(-LN(2)/2))/(LN(2)/2)*V95*Y95*VLOOKUP('Données projet'!$B$9,Paramètres!$A$1:$I$89,3,0)*0.475*44/12</f>
        <v>1.8077469533317911</v>
      </c>
      <c r="AC95" s="24">
        <f t="shared" si="57"/>
        <v>196.09296782294271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5.6843418860808015E-14</v>
      </c>
      <c r="AJ95" s="14">
        <f>AI95*VLOOKUP('Données projet'!$B$10,Paramètres!$A$1:$I$89,3,0)*VLOOKUP('Données projet'!$B$10,Paramètres!$A$1:$I$89,5,0)</f>
        <v>2.6602720026858149E-14</v>
      </c>
      <c r="AK95" s="14">
        <f t="shared" si="89"/>
        <v>4.6624771586320878E-13</v>
      </c>
      <c r="AL95" s="22">
        <f t="shared" si="58"/>
        <v>8.583811758418665E-13</v>
      </c>
      <c r="AM95" s="62">
        <f t="shared" si="59"/>
        <v>275.01030204311257</v>
      </c>
      <c r="AN95" s="62">
        <f ca="1">AVERAGE(OFFSET($AM$3,0,0,'Données projet'!$E$10+1,1))-AVERAGE(OFFSET($H$3,0,0,'Données projet'!$E$10+1,1))</f>
        <v>215.50514301701057</v>
      </c>
      <c r="AO95" s="62">
        <f t="shared" si="90"/>
        <v>273.18950868898253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71.694882512870976</v>
      </c>
      <c r="AV95" s="23">
        <f>EXP(-LN(2)/25)*AV94+(1-EXP(-LN(2)/25))/(LN(2)/25)*Calculateur!AQ95*Calculateur!AS95*VLOOKUP('Données projet'!$B$10,Paramètres!$A$1:$I$89,3,0)*0.475*44/12</f>
        <v>1.3527595448863989</v>
      </c>
      <c r="AW95" s="23">
        <f>EXP(-LN(2)/2)*AW94+(1-EXP(-LN(2)/2))/(LN(2)/2)*AQ95*AT95*VLOOKUP('Données projet'!$B$10,Paramètres!$A$1:$I$89,3,0)*0.475*44/12</f>
        <v>4.4689330143879213E-4</v>
      </c>
      <c r="AX95" s="23">
        <f t="shared" si="60"/>
        <v>73.048088951058816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5</v>
      </c>
      <c r="BD95" s="13">
        <f>IF('Données projet'!$A$88&gt;35,BD94+BC95-BL94,IF(A95&lt;'Données projet'!$A$88,$BA$205^A95,IF(A95='Données projet'!$A$88,'Données projet'!$B$88,BD94+BC95-BL94)))</f>
        <v>263.99999999999983</v>
      </c>
      <c r="BE95" s="14">
        <f>BD95*VLOOKUP('Données projet'!$B$11,Paramètres!$A$1:$I$89,3,0)*VLOOKUP('Données projet'!$B$11,Paramètres!$A$1:$I$89,5,0)</f>
        <v>267.69599999999986</v>
      </c>
      <c r="BF95" s="14">
        <f t="shared" si="91"/>
        <v>64.360058723585439</v>
      </c>
      <c r="BG95" s="22">
        <f t="shared" si="61"/>
        <v>578.33096894357766</v>
      </c>
      <c r="BH95" s="62">
        <f t="shared" si="62"/>
        <v>853.34127098668932</v>
      </c>
      <c r="BI95" s="62">
        <f ca="1">AVERAGE(OFFSET($BH$3,0,0,'Données projet'!$E$11+1,1))-AVERAGE(OFFSET($H$3,0,0,'Données projet'!$E$11+1,1))</f>
        <v>396.06968288200386</v>
      </c>
      <c r="BJ95" s="62">
        <f t="shared" si="92"/>
        <v>273.35778700650792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42.162470767180793</v>
      </c>
      <c r="BQ95" s="23">
        <f>EXP(-LN(2)/25)*BQ94+(1-EXP(-LN(2)/25))/(LN(2)/25)*Calculateur!BL95*Calculateur!BN95*VLOOKUP('Données projet'!$B$11,Paramètres!$A$1:$I$89,3,0)*0.475*44/12</f>
        <v>15.210227381163261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57.372698148344057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394.69391436029986</v>
      </c>
      <c r="T96" s="62">
        <f t="shared" si="88"/>
        <v>311.37245656657353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188.90583967091925</v>
      </c>
      <c r="AA96" s="23">
        <f>EXP(-LN(2)/25)*AA95+(1-EXP(-LN(2)/25))/(LN(2)/25)*Calculateur!V96*Calculateur!X96*VLOOKUP('Données projet'!$B$9,Paramètres!$A$1:$I$89,3,0)*0.475*44/12</f>
        <v>1.5571820305319721</v>
      </c>
      <c r="AB96" s="23">
        <f>EXP(-LN(2)/2)*AB95+(1-EXP(-LN(2)/2))/(LN(2)/2)*V96*Y96*VLOOKUP('Données projet'!$B$9,Paramètres!$A$1:$I$89,3,0)*0.475*44/12</f>
        <v>1.2782701293702308</v>
      </c>
      <c r="AC96" s="24">
        <f t="shared" si="57"/>
        <v>191.74129183082147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5.6843418860808015E-14</v>
      </c>
      <c r="AJ96" s="14">
        <f>AI96*VLOOKUP('Données projet'!$B$10,Paramètres!$A$1:$I$89,3,0)*VLOOKUP('Données projet'!$B$10,Paramètres!$A$1:$I$89,5,0)</f>
        <v>2.6602720026858149E-14</v>
      </c>
      <c r="AK96" s="14">
        <f t="shared" si="89"/>
        <v>4.6624771586320878E-13</v>
      </c>
      <c r="AL96" s="22">
        <f t="shared" si="58"/>
        <v>8.583811758418665E-13</v>
      </c>
      <c r="AM96" s="62">
        <f t="shared" si="59"/>
        <v>275.32816567183681</v>
      </c>
      <c r="AN96" s="62">
        <f ca="1">AVERAGE(OFFSET($AM$3,0,0,'Données projet'!$E$10+1,1))-AVERAGE(OFFSET($H$3,0,0,'Données projet'!$E$10+1,1))</f>
        <v>215.50514301701057</v>
      </c>
      <c r="AO96" s="62">
        <f t="shared" si="90"/>
        <v>273.18950868898253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70.288989596353971</v>
      </c>
      <c r="AV96" s="23">
        <f>EXP(-LN(2)/25)*AV95+(1-EXP(-LN(2)/25))/(LN(2)/25)*Calculateur!AQ96*Calculateur!AS96*VLOOKUP('Données projet'!$B$10,Paramètres!$A$1:$I$89,3,0)*0.475*44/12</f>
        <v>1.3157682639929478</v>
      </c>
      <c r="AW96" s="23">
        <f>EXP(-LN(2)/2)*AW95+(1-EXP(-LN(2)/2))/(LN(2)/2)*AQ96*AT96*VLOOKUP('Données projet'!$B$10,Paramètres!$A$1:$I$89,3,0)*0.475*44/12</f>
        <v>3.1600128391421381E-4</v>
      </c>
      <c r="AX96" s="23">
        <f t="shared" si="60"/>
        <v>71.605073861630842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5</v>
      </c>
      <c r="BD96" s="13">
        <f>IF('Données projet'!$A$88&gt;35,BD95+BC96-BL95,IF(A96&lt;'Données projet'!$A$88,$BA$205^A96,IF(A96='Données projet'!$A$88,'Données projet'!$B$88,BD95+BC96-BL95)))</f>
        <v>268.99999999999983</v>
      </c>
      <c r="BE96" s="14">
        <f>BD96*VLOOKUP('Données projet'!$B$11,Paramètres!$A$1:$I$89,3,0)*VLOOKUP('Données projet'!$B$11,Paramètres!$A$1:$I$89,5,0)</f>
        <v>272.76599999999985</v>
      </c>
      <c r="BF96" s="14">
        <f t="shared" si="91"/>
        <v>65.43593563008757</v>
      </c>
      <c r="BG96" s="22">
        <f t="shared" si="61"/>
        <v>589.03503788906892</v>
      </c>
      <c r="BH96" s="62">
        <f t="shared" si="62"/>
        <v>864.36320356090482</v>
      </c>
      <c r="BI96" s="62">
        <f ca="1">AVERAGE(OFFSET($BH$3,0,0,'Données projet'!$E$11+1,1))-AVERAGE(OFFSET($H$3,0,0,'Données projet'!$E$11+1,1))</f>
        <v>396.06968288200386</v>
      </c>
      <c r="BJ96" s="62">
        <f t="shared" si="92"/>
        <v>273.35778700650792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41.335690432004242</v>
      </c>
      <c r="BQ96" s="23">
        <f>EXP(-LN(2)/25)*BQ95+(1-EXP(-LN(2)/25))/(LN(2)/25)*Calculateur!BL96*Calculateur!BN96*VLOOKUP('Données projet'!$B$11,Paramètres!$A$1:$I$89,3,0)*0.475*44/12</f>
        <v>14.794302913554256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56.129993345558496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394.69391436029986</v>
      </c>
      <c r="T97" s="62">
        <f t="shared" si="88"/>
        <v>311.37245656657353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185.20151137615758</v>
      </c>
      <c r="AA97" s="23">
        <f>EXP(-LN(2)/25)*AA96+(1-EXP(-LN(2)/25))/(LN(2)/25)*Calculateur!V97*Calculateur!X97*VLOOKUP('Données projet'!$B$9,Paramètres!$A$1:$I$89,3,0)*0.475*44/12</f>
        <v>1.5146008060184313</v>
      </c>
      <c r="AB97" s="23">
        <f>EXP(-LN(2)/2)*AB96+(1-EXP(-LN(2)/2))/(LN(2)/2)*V97*Y97*VLOOKUP('Données projet'!$B$9,Paramètres!$A$1:$I$89,3,0)*0.475*44/12</f>
        <v>0.90387347666589557</v>
      </c>
      <c r="AC97" s="24">
        <f t="shared" si="57"/>
        <v>187.6199856588419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5.6843418860808015E-14</v>
      </c>
      <c r="AJ97" s="14">
        <f>AI97*VLOOKUP('Données projet'!$B$10,Paramètres!$A$1:$I$89,3,0)*VLOOKUP('Données projet'!$B$10,Paramètres!$A$1:$I$89,5,0)</f>
        <v>2.6602720026858149E-14</v>
      </c>
      <c r="AK97" s="14">
        <f t="shared" si="89"/>
        <v>4.6624771586320878E-13</v>
      </c>
      <c r="AL97" s="22">
        <f t="shared" si="58"/>
        <v>8.583811758418665E-13</v>
      </c>
      <c r="AM97" s="62">
        <f t="shared" si="59"/>
        <v>275.64051507723934</v>
      </c>
      <c r="AN97" s="62">
        <f ca="1">AVERAGE(OFFSET($AM$3,0,0,'Données projet'!$E$10+1,1))-AVERAGE(OFFSET($H$3,0,0,'Données projet'!$E$10+1,1))</f>
        <v>215.50514301701057</v>
      </c>
      <c r="AO97" s="62">
        <f t="shared" si="90"/>
        <v>273.18950868898253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68.910665382419864</v>
      </c>
      <c r="AV97" s="23">
        <f>EXP(-LN(2)/25)*AV96+(1-EXP(-LN(2)/25))/(LN(2)/25)*Calculateur!AQ97*Calculateur!AS97*VLOOKUP('Données projet'!$B$10,Paramètres!$A$1:$I$89,3,0)*0.475*44/12</f>
        <v>1.2797885116208148</v>
      </c>
      <c r="AW97" s="23">
        <f>EXP(-LN(2)/2)*AW96+(1-EXP(-LN(2)/2))/(LN(2)/2)*AQ97*AT97*VLOOKUP('Données projet'!$B$10,Paramètres!$A$1:$I$89,3,0)*0.475*44/12</f>
        <v>2.2344665071939607E-4</v>
      </c>
      <c r="AX97" s="23">
        <f t="shared" si="60"/>
        <v>70.190677340691394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5</v>
      </c>
      <c r="BD97" s="13">
        <f>IF('Données projet'!$A$88&gt;35,BD96+BC97-BL96,IF(A97&lt;'Données projet'!$A$88,$BA$205^A97,IF(A97='Données projet'!$A$88,'Données projet'!$B$88,BD96+BC97-BL96)))</f>
        <v>273.99999999999983</v>
      </c>
      <c r="BE97" s="14">
        <f>BD97*VLOOKUP('Données projet'!$B$11,Paramètres!$A$1:$I$89,3,0)*VLOOKUP('Données projet'!$B$11,Paramètres!$A$1:$I$89,5,0)</f>
        <v>277.83599999999984</v>
      </c>
      <c r="BF97" s="14">
        <f t="shared" si="91"/>
        <v>66.509487177652261</v>
      </c>
      <c r="BG97" s="22">
        <f t="shared" si="61"/>
        <v>599.73505683441078</v>
      </c>
      <c r="BH97" s="62">
        <f t="shared" si="62"/>
        <v>875.37557191164933</v>
      </c>
      <c r="BI97" s="62">
        <f ca="1">AVERAGE(OFFSET($BH$3,0,0,'Données projet'!$E$11+1,1))-AVERAGE(OFFSET($H$3,0,0,'Données projet'!$E$11+1,1))</f>
        <v>396.06968288200386</v>
      </c>
      <c r="BJ97" s="62">
        <f t="shared" si="92"/>
        <v>273.35778700650792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40.5251227549143</v>
      </c>
      <c r="BQ97" s="23">
        <f>EXP(-LN(2)/25)*BQ96+(1-EXP(-LN(2)/25))/(LN(2)/25)*Calculateur!BL97*Calculateur!BN97*VLOOKUP('Données projet'!$B$11,Paramètres!$A$1:$I$89,3,0)*0.475*44/12</f>
        <v>14.389751922384537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54.91487467729884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394.69391436029986</v>
      </c>
      <c r="T98" s="62">
        <f t="shared" si="88"/>
        <v>311.37245656657353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181.56982269983902</v>
      </c>
      <c r="AA98" s="23">
        <f>EXP(-LN(2)/25)*AA97+(1-EXP(-LN(2)/25))/(LN(2)/25)*Calculateur!V98*Calculateur!X98*VLOOKUP('Données projet'!$B$9,Paramètres!$A$1:$I$89,3,0)*0.475*44/12</f>
        <v>1.4731839673284626</v>
      </c>
      <c r="AB98" s="23">
        <f>EXP(-LN(2)/2)*AB97+(1-EXP(-LN(2)/2))/(LN(2)/2)*V98*Y98*VLOOKUP('Données projet'!$B$9,Paramètres!$A$1:$I$89,3,0)*0.475*44/12</f>
        <v>0.63913506468511538</v>
      </c>
      <c r="AC98" s="24">
        <f t="shared" si="57"/>
        <v>183.6821417318526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5.6843418860808015E-14</v>
      </c>
      <c r="AJ98" s="14">
        <f>AI98*VLOOKUP('Données projet'!$B$10,Paramètres!$A$1:$I$89,3,0)*VLOOKUP('Données projet'!$B$10,Paramètres!$A$1:$I$89,5,0)</f>
        <v>2.6602720026858149E-14</v>
      </c>
      <c r="AK98" s="14">
        <f t="shared" si="89"/>
        <v>4.6624771586320878E-13</v>
      </c>
      <c r="AL98" s="22">
        <f t="shared" si="58"/>
        <v>8.583811758418665E-13</v>
      </c>
      <c r="AM98" s="62">
        <f t="shared" si="59"/>
        <v>275.94744591876679</v>
      </c>
      <c r="AN98" s="62">
        <f ca="1">AVERAGE(OFFSET($AM$3,0,0,'Données projet'!$E$10+1,1))-AVERAGE(OFFSET($H$3,0,0,'Données projet'!$E$10+1,1))</f>
        <v>215.50514301701057</v>
      </c>
      <c r="AO98" s="62">
        <f t="shared" si="90"/>
        <v>273.18950868898253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67.559369265626245</v>
      </c>
      <c r="AV98" s="23">
        <f>EXP(-LN(2)/25)*AV97+(1-EXP(-LN(2)/25))/(LN(2)/25)*Calculateur!AQ98*Calculateur!AS98*VLOOKUP('Données projet'!$B$10,Paramètres!$A$1:$I$89,3,0)*0.475*44/12</f>
        <v>1.2447926274693908</v>
      </c>
      <c r="AW98" s="23">
        <f>EXP(-LN(2)/2)*AW97+(1-EXP(-LN(2)/2))/(LN(2)/2)*AQ98*AT98*VLOOKUP('Données projet'!$B$10,Paramètres!$A$1:$I$89,3,0)*0.475*44/12</f>
        <v>1.580006419571069E-4</v>
      </c>
      <c r="AX98" s="23">
        <f t="shared" si="60"/>
        <v>68.804319893737599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>
        <f>VLOOKUP(A98,'Données projet'!$A$87:$I$107,2,0)</f>
        <v>279</v>
      </c>
      <c r="BB98" s="13">
        <f>VLOOKUP(A98,'Données projet'!$A$87:$I$107,9,0)</f>
        <v>5</v>
      </c>
      <c r="BC98" s="13">
        <f t="array" ref="BC98">INDEX(BB:BB,MIN(IF(ISNUMBER(BB98:BB294),ROW(BB98:BB294),"")))</f>
        <v>5</v>
      </c>
      <c r="BD98" s="13">
        <f>IF('Données projet'!$A$88&gt;35,BD97+BC98-BL97,IF(A98&lt;'Données projet'!$A$88,$BA$205^A98,IF(A98='Données projet'!$A$88,'Données projet'!$B$88,BD97+BC98-BL97)))</f>
        <v>278.99999999999983</v>
      </c>
      <c r="BE98" s="14">
        <f>BD98*VLOOKUP('Données projet'!$B$11,Paramètres!$A$1:$I$89,3,0)*VLOOKUP('Données projet'!$B$11,Paramètres!$A$1:$I$89,5,0)</f>
        <v>282.90599999999989</v>
      </c>
      <c r="BF98" s="14">
        <f t="shared" si="91"/>
        <v>67.580760694123455</v>
      </c>
      <c r="BG98" s="22">
        <f t="shared" si="61"/>
        <v>610.43110820893151</v>
      </c>
      <c r="BH98" s="62">
        <f t="shared" si="62"/>
        <v>886.3785541276975</v>
      </c>
      <c r="BI98" s="62">
        <f ca="1">AVERAGE(OFFSET($BH$3,0,0,'Données projet'!$E$11+1,1))-AVERAGE(OFFSET($H$3,0,0,'Données projet'!$E$11+1,1))</f>
        <v>396.06968288200386</v>
      </c>
      <c r="BJ98" s="62">
        <f t="shared" si="92"/>
        <v>273.35778700650792</v>
      </c>
      <c r="BK98" s="16">
        <f>IF(ISNA(VLOOKUP(A98,'Données projet'!$A$87:$I$107,3,0)),0,VLOOKUP(A98,'Données projet'!$A$87:$I$107,3,0))</f>
        <v>15</v>
      </c>
      <c r="BL98" s="16">
        <f>IF(ISNA(VLOOKUP(A98,'Données projet'!$A$87:$I$107,4,0)),0,VLOOKUP(A98,'Données projet'!$A$87:$I$107,4,0))</f>
        <v>21</v>
      </c>
      <c r="BM98" s="17">
        <f>IF(ISNA(VLOOKUP(A98,'Données projet'!$A$87:$I$107,5,0)),0%,VLOOKUP(A98,'Données projet'!$A$87:$I$107,5,0)*VLOOKUP('Données projet'!$B$11,Paramètres!$A$1:$I$89,7,0))</f>
        <v>0.32250000000000001</v>
      </c>
      <c r="BN98" s="17">
        <f>IF(ISNA(VLOOKUP(A98,'Données projet'!$A$87:$I$107,6,0)),0%,VLOOKUP(A98,'Données projet'!$A$87:$I$107,6,0)*VLOOKUP('Données projet'!$B$11,Paramètres!$A$1:$I$89,7,0))</f>
        <v>0.1075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47.322063134996945</v>
      </c>
      <c r="BQ98" s="23">
        <f>EXP(-LN(2)/25)*BQ97+(1-EXP(-LN(2)/25))/(LN(2)/25)*Calculateur!BL98*Calculateur!BN98*VLOOKUP('Données projet'!$B$11,Paramètres!$A$1:$I$89,3,0)*0.475*44/12</f>
        <v>16.5168374810602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63.838900616057145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394.69391436029986</v>
      </c>
      <c r="T99" s="62">
        <f t="shared" si="88"/>
        <v>311.37245656657353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178.00934922335171</v>
      </c>
      <c r="AA99" s="23">
        <f>EXP(-LN(2)/25)*AA98+(1-EXP(-LN(2)/25))/(LN(2)/25)*Calculateur!V99*Calculateur!X99*VLOOKUP('Données projet'!$B$9,Paramètres!$A$1:$I$89,3,0)*0.475*44/12</f>
        <v>1.432899674270488</v>
      </c>
      <c r="AB99" s="23">
        <f>EXP(-LN(2)/2)*AB98+(1-EXP(-LN(2)/2))/(LN(2)/2)*V99*Y99*VLOOKUP('Données projet'!$B$9,Paramètres!$A$1:$I$89,3,0)*0.475*44/12</f>
        <v>0.45193673833294778</v>
      </c>
      <c r="AC99" s="24">
        <f t="shared" si="57"/>
        <v>179.89418563595515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5.6843418860808015E-14</v>
      </c>
      <c r="AJ99" s="14">
        <f>AI99*VLOOKUP('Données projet'!$B$10,Paramètres!$A$1:$I$89,3,0)*VLOOKUP('Données projet'!$B$10,Paramètres!$A$1:$I$89,5,0)</f>
        <v>2.6602720026858149E-14</v>
      </c>
      <c r="AK99" s="14">
        <f t="shared" si="89"/>
        <v>4.6624771586320878E-13</v>
      </c>
      <c r="AL99" s="22">
        <f t="shared" si="58"/>
        <v>8.583811758418665E-13</v>
      </c>
      <c r="AM99" s="62">
        <f t="shared" si="59"/>
        <v>276.24905219638828</v>
      </c>
      <c r="AN99" s="62">
        <f ca="1">AVERAGE(OFFSET($AM$3,0,0,'Données projet'!$E$10+1,1))-AVERAGE(OFFSET($H$3,0,0,'Données projet'!$E$10+1,1))</f>
        <v>215.50514301701057</v>
      </c>
      <c r="AO99" s="62">
        <f t="shared" si="90"/>
        <v>273.18950868898253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66.234571241473702</v>
      </c>
      <c r="AV99" s="23">
        <f>EXP(-LN(2)/25)*AV98+(1-EXP(-LN(2)/25))/(LN(2)/25)*Calculateur!AQ99*Calculateur!AS99*VLOOKUP('Données projet'!$B$10,Paramètres!$A$1:$I$89,3,0)*0.475*44/12</f>
        <v>1.2107537076104411</v>
      </c>
      <c r="AW99" s="23">
        <f>EXP(-LN(2)/2)*AW98+(1-EXP(-LN(2)/2))/(LN(2)/2)*AQ99*AT99*VLOOKUP('Données projet'!$B$10,Paramètres!$A$1:$I$89,3,0)*0.475*44/12</f>
        <v>1.1172332535969803E-4</v>
      </c>
      <c r="AX99" s="23">
        <f t="shared" si="60"/>
        <v>67.4454366724095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4.8</v>
      </c>
      <c r="BD99" s="13">
        <f>IF('Données projet'!$A$88&gt;35,BD98+BC99-BL98,IF(A99&lt;'Données projet'!$A$88,$BA$205^A99,IF(A99='Données projet'!$A$88,'Données projet'!$B$88,BD98+BC99-BL98)))</f>
        <v>262.79999999999984</v>
      </c>
      <c r="BE99" s="14">
        <f>BD99*VLOOKUP('Données projet'!$B$11,Paramètres!$A$1:$I$89,3,0)*VLOOKUP('Données projet'!$B$11,Paramètres!$A$1:$I$89,5,0)</f>
        <v>266.47919999999988</v>
      </c>
      <c r="BF99" s="14">
        <f t="shared" si="91"/>
        <v>64.101496824889622</v>
      </c>
      <c r="BG99" s="22">
        <f t="shared" si="61"/>
        <v>575.76138030334926</v>
      </c>
      <c r="BH99" s="62">
        <f t="shared" si="62"/>
        <v>852.01043249973668</v>
      </c>
      <c r="BI99" s="62">
        <f ca="1">AVERAGE(OFFSET($BH$3,0,0,'Données projet'!$E$11+1,1))-AVERAGE(OFFSET($H$3,0,0,'Données projet'!$E$11+1,1))</f>
        <v>396.06968288200386</v>
      </c>
      <c r="BJ99" s="62">
        <f t="shared" si="92"/>
        <v>273.35778700650792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46.394106340528126</v>
      </c>
      <c r="BQ99" s="23">
        <f>EXP(-LN(2)/25)*BQ98+(1-EXP(-LN(2)/25))/(LN(2)/25)*Calculateur!BL99*Calculateur!BN99*VLOOKUP('Données projet'!$B$11,Paramètres!$A$1:$I$89,3,0)*0.475*44/12</f>
        <v>16.065183691557877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62.459290032086002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394.69391436029986</v>
      </c>
      <c r="T100" s="62">
        <f t="shared" si="88"/>
        <v>311.37245656657353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174.51869446006393</v>
      </c>
      <c r="AA100" s="23">
        <f>EXP(-LN(2)/25)*AA99+(1-EXP(-LN(2)/25))/(LN(2)/25)*Calculateur!V100*Calculateur!X100*VLOOKUP('Données projet'!$B$9,Paramètres!$A$1:$I$89,3,0)*0.475*44/12</f>
        <v>1.3937169573246426</v>
      </c>
      <c r="AB100" s="23">
        <f>EXP(-LN(2)/2)*AB99+(1-EXP(-LN(2)/2))/(LN(2)/2)*V100*Y100*VLOOKUP('Données projet'!$B$9,Paramètres!$A$1:$I$89,3,0)*0.475*44/12</f>
        <v>0.31956753234255769</v>
      </c>
      <c r="AC100" s="24">
        <f t="shared" si="57"/>
        <v>176.23197894973111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5.6843418860808015E-14</v>
      </c>
      <c r="AJ100" s="14">
        <f>AI100*VLOOKUP('Données projet'!$B$10,Paramètres!$A$1:$I$89,3,0)*VLOOKUP('Données projet'!$B$10,Paramètres!$A$1:$I$89,5,0)</f>
        <v>2.6602720026858149E-14</v>
      </c>
      <c r="AK100" s="14">
        <f t="shared" si="89"/>
        <v>4.6624771586320878E-13</v>
      </c>
      <c r="AL100" s="22">
        <f t="shared" si="58"/>
        <v>8.583811758418665E-13</v>
      </c>
      <c r="AM100" s="62">
        <f t="shared" si="59"/>
        <v>276.54542627938366</v>
      </c>
      <c r="AN100" s="62">
        <f ca="1">AVERAGE(OFFSET($AM$3,0,0,'Données projet'!$E$10+1,1))-AVERAGE(OFFSET($H$3,0,0,'Données projet'!$E$10+1,1))</f>
        <v>215.50514301701057</v>
      </c>
      <c r="AO100" s="62">
        <f t="shared" si="90"/>
        <v>273.18950868898253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64.935751698527781</v>
      </c>
      <c r="AV100" s="23">
        <f>EXP(-LN(2)/25)*AV99+(1-EXP(-LN(2)/25))/(LN(2)/25)*Calculateur!AQ100*Calculateur!AS100*VLOOKUP('Données projet'!$B$10,Paramètres!$A$1:$I$89,3,0)*0.475*44/12</f>
        <v>1.1776455838050632</v>
      </c>
      <c r="AW100" s="23">
        <f>EXP(-LN(2)/2)*AW99+(1-EXP(-LN(2)/2))/(LN(2)/2)*AQ100*AT100*VLOOKUP('Données projet'!$B$10,Paramètres!$A$1:$I$89,3,0)*0.475*44/12</f>
        <v>7.9000320978553452E-5</v>
      </c>
      <c r="AX100" s="23">
        <f t="shared" si="60"/>
        <v>66.113476282653821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4.8</v>
      </c>
      <c r="BD100" s="13">
        <f>IF('Données projet'!$A$88&gt;35,BD99+BC100-BL99,IF(A100&lt;'Données projet'!$A$88,$BA$205^A100,IF(A100='Données projet'!$A$88,'Données projet'!$B$88,BD99+BC100-BL99)))</f>
        <v>267.59999999999985</v>
      </c>
      <c r="BE100" s="14">
        <f>BD100*VLOOKUP('Données projet'!$B$11,Paramètres!$A$1:$I$89,3,0)*VLOOKUP('Données projet'!$B$11,Paramètres!$A$1:$I$89,5,0)</f>
        <v>271.34639999999985</v>
      </c>
      <c r="BF100" s="14">
        <f t="shared" si="91"/>
        <v>65.134926573557308</v>
      </c>
      <c r="BG100" s="22">
        <f t="shared" si="61"/>
        <v>586.03831044894537</v>
      </c>
      <c r="BH100" s="62">
        <f t="shared" si="62"/>
        <v>862.58373672832818</v>
      </c>
      <c r="BI100" s="62">
        <f ca="1">AVERAGE(OFFSET($BH$3,0,0,'Données projet'!$E$11+1,1))-AVERAGE(OFFSET($H$3,0,0,'Données projet'!$E$11+1,1))</f>
        <v>396.06968288200386</v>
      </c>
      <c r="BJ100" s="62">
        <f t="shared" si="92"/>
        <v>273.35778700650792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45.484346212801078</v>
      </c>
      <c r="BQ100" s="23">
        <f>EXP(-LN(2)/25)*BQ99+(1-EXP(-LN(2)/25))/(LN(2)/25)*Calculateur!BL100*Calculateur!BN100*VLOOKUP('Données projet'!$B$11,Paramètres!$A$1:$I$89,3,0)*0.475*44/12</f>
        <v>15.625880398680934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61.110226611482013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394.69391436029986</v>
      </c>
      <c r="T101" s="62">
        <f t="shared" si="88"/>
        <v>311.37245656657353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171.09648930759502</v>
      </c>
      <c r="AA101" s="23">
        <f>EXP(-LN(2)/25)*AA100+(1-EXP(-LN(2)/25))/(LN(2)/25)*Calculateur!V101*Calculateur!X101*VLOOKUP('Données projet'!$B$9,Paramètres!$A$1:$I$89,3,0)*0.475*44/12</f>
        <v>1.3556056938342109</v>
      </c>
      <c r="AB101" s="23">
        <f>EXP(-LN(2)/2)*AB100+(1-EXP(-LN(2)/2))/(LN(2)/2)*V101*Y101*VLOOKUP('Données projet'!$B$9,Paramètres!$A$1:$I$89,3,0)*0.475*44/12</f>
        <v>0.22596836916647389</v>
      </c>
      <c r="AC101" s="24">
        <f t="shared" si="57"/>
        <v>172.67806337059571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5.6843418860808015E-14</v>
      </c>
      <c r="AJ101" s="14">
        <f>AI101*VLOOKUP('Données projet'!$B$10,Paramètres!$A$1:$I$89,3,0)*VLOOKUP('Données projet'!$B$10,Paramètres!$A$1:$I$89,5,0)</f>
        <v>2.6602720026858149E-14</v>
      </c>
      <c r="AK101" s="14">
        <f t="shared" si="89"/>
        <v>4.6624771586320878E-13</v>
      </c>
      <c r="AL101" s="22">
        <f t="shared" si="58"/>
        <v>8.583811758418665E-13</v>
      </c>
      <c r="AM101" s="62">
        <f t="shared" si="59"/>
        <v>276.83665893463223</v>
      </c>
      <c r="AN101" s="62">
        <f ca="1">AVERAGE(OFFSET($AM$3,0,0,'Données projet'!$E$10+1,1))-AVERAGE(OFFSET($H$3,0,0,'Données projet'!$E$10+1,1))</f>
        <v>215.50514301701057</v>
      </c>
      <c r="AO101" s="62">
        <f t="shared" si="90"/>
        <v>273.18950868898253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63.662401214617333</v>
      </c>
      <c r="AV101" s="23">
        <f>EXP(-LN(2)/25)*AV100+(1-EXP(-LN(2)/25))/(LN(2)/25)*Calculateur!AQ101*Calculateur!AS101*VLOOKUP('Données projet'!$B$10,Paramètres!$A$1:$I$89,3,0)*0.475*44/12</f>
        <v>1.1454428033862241</v>
      </c>
      <c r="AW101" s="23">
        <f>EXP(-LN(2)/2)*AW100+(1-EXP(-LN(2)/2))/(LN(2)/2)*AQ101*AT101*VLOOKUP('Données projet'!$B$10,Paramètres!$A$1:$I$89,3,0)*0.475*44/12</f>
        <v>5.5861662679849017E-5</v>
      </c>
      <c r="AX101" s="23">
        <f t="shared" si="60"/>
        <v>64.807899879666223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4.8</v>
      </c>
      <c r="BD101" s="13">
        <f>IF('Données projet'!$A$88&gt;35,BD100+BC101-BL100,IF(A101&lt;'Données projet'!$A$88,$BA$205^A101,IF(A101='Données projet'!$A$88,'Données projet'!$B$88,BD100+BC101-BL100)))</f>
        <v>272.39999999999986</v>
      </c>
      <c r="BE101" s="14">
        <f>BD101*VLOOKUP('Données projet'!$B$11,Paramètres!$A$1:$I$89,3,0)*VLOOKUP('Données projet'!$B$11,Paramètres!$A$1:$I$89,5,0)</f>
        <v>276.21359999999987</v>
      </c>
      <c r="BF101" s="14">
        <f t="shared" si="91"/>
        <v>66.166200760877416</v>
      </c>
      <c r="BG101" s="22">
        <f t="shared" si="61"/>
        <v>596.31148632519455</v>
      </c>
      <c r="BH101" s="62">
        <f t="shared" si="62"/>
        <v>873.14814525982592</v>
      </c>
      <c r="BI101" s="62">
        <f ca="1">AVERAGE(OFFSET($BH$3,0,0,'Données projet'!$E$11+1,1))-AVERAGE(OFFSET($H$3,0,0,'Données projet'!$E$11+1,1))</f>
        <v>396.06968288200386</v>
      </c>
      <c r="BJ101" s="62">
        <f t="shared" si="92"/>
        <v>273.35778700650792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44.592425926279873</v>
      </c>
      <c r="BQ101" s="23">
        <f>EXP(-LN(2)/25)*BQ100+(1-EXP(-LN(2)/25))/(LN(2)/25)*Calculateur!BL101*Calculateur!BN101*VLOOKUP('Données projet'!$B$11,Paramètres!$A$1:$I$89,3,0)*0.475*44/12</f>
        <v>15.198589877449667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59.791015803729536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394.69391436029986</v>
      </c>
      <c r="T102" s="62">
        <f t="shared" si="88"/>
        <v>311.37245656657353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167.74139151082701</v>
      </c>
      <c r="AA102" s="23">
        <f>EXP(-LN(2)/25)*AA101+(1-EXP(-LN(2)/25))/(LN(2)/25)*Calculateur!V102*Calculateur!X102*VLOOKUP('Données projet'!$B$9,Paramètres!$A$1:$I$89,3,0)*0.475*44/12</f>
        <v>1.3185365848481092</v>
      </c>
      <c r="AB102" s="23">
        <f>EXP(-LN(2)/2)*AB101+(1-EXP(-LN(2)/2))/(LN(2)/2)*V102*Y102*VLOOKUP('Données projet'!$B$9,Paramètres!$A$1:$I$89,3,0)*0.475*44/12</f>
        <v>0.15978376617127885</v>
      </c>
      <c r="AC102" s="24">
        <f t="shared" si="57"/>
        <v>169.21971186184641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5.6843418860808015E-14</v>
      </c>
      <c r="AJ102" s="14">
        <f>AI102*VLOOKUP('Données projet'!$B$10,Paramètres!$A$1:$I$89,3,0)*VLOOKUP('Données projet'!$B$10,Paramètres!$A$1:$I$89,5,0)</f>
        <v>2.6602720026858149E-14</v>
      </c>
      <c r="AK102" s="14">
        <f t="shared" si="89"/>
        <v>4.6624771586320878E-13</v>
      </c>
      <c r="AL102" s="22">
        <f t="shared" si="58"/>
        <v>8.583811758418665E-13</v>
      </c>
      <c r="AM102" s="62">
        <f t="shared" si="59"/>
        <v>277.12283935441098</v>
      </c>
      <c r="AN102" s="62">
        <f ca="1">AVERAGE(OFFSET($AM$3,0,0,'Données projet'!$E$10+1,1))-AVERAGE(OFFSET($H$3,0,0,'Données projet'!$E$10+1,1))</f>
        <v>215.50514301701057</v>
      </c>
      <c r="AO102" s="62">
        <f t="shared" si="90"/>
        <v>273.18950868898253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62.414020357029258</v>
      </c>
      <c r="AV102" s="23">
        <f>EXP(-LN(2)/25)*AV101+(1-EXP(-LN(2)/25))/(LN(2)/25)*Calculateur!AQ102*Calculateur!AS102*VLOOKUP('Données projet'!$B$10,Paramètres!$A$1:$I$89,3,0)*0.475*44/12</f>
        <v>1.1141206096914087</v>
      </c>
      <c r="AW102" s="23">
        <f>EXP(-LN(2)/2)*AW101+(1-EXP(-LN(2)/2))/(LN(2)/2)*AQ102*AT102*VLOOKUP('Données projet'!$B$10,Paramètres!$A$1:$I$89,3,0)*0.475*44/12</f>
        <v>3.9500160489276726E-5</v>
      </c>
      <c r="AX102" s="23">
        <f t="shared" si="60"/>
        <v>63.52818046688116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4.8</v>
      </c>
      <c r="BD102" s="13">
        <f>IF('Données projet'!$A$88&gt;35,BD101+BC102-BL101,IF(A102&lt;'Données projet'!$A$88,$BA$205^A102,IF(A102='Données projet'!$A$88,'Données projet'!$B$88,BD101+BC102-BL101)))</f>
        <v>277.19999999999987</v>
      </c>
      <c r="BE102" s="14">
        <f>BD102*VLOOKUP('Données projet'!$B$11,Paramètres!$A$1:$I$89,3,0)*VLOOKUP('Données projet'!$B$11,Paramètres!$A$1:$I$89,5,0)</f>
        <v>281.0807999999999</v>
      </c>
      <c r="BF102" s="14">
        <f t="shared" si="91"/>
        <v>67.19536175254612</v>
      </c>
      <c r="BG102" s="22">
        <f t="shared" si="61"/>
        <v>606.58098171901759</v>
      </c>
      <c r="BH102" s="62">
        <f t="shared" si="62"/>
        <v>883.70382107342766</v>
      </c>
      <c r="BI102" s="62">
        <f ca="1">AVERAGE(OFFSET($BH$3,0,0,'Données projet'!$E$11+1,1))-AVERAGE(OFFSET($H$3,0,0,'Données projet'!$E$11+1,1))</f>
        <v>396.06968288200386</v>
      </c>
      <c r="BJ102" s="62">
        <f t="shared" si="92"/>
        <v>273.35778700650792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43.717995652559694</v>
      </c>
      <c r="BQ102" s="23">
        <f>EXP(-LN(2)/25)*BQ101+(1-EXP(-LN(2)/25))/(LN(2)/25)*Calculateur!BL102*Calculateur!BN102*VLOOKUP('Données projet'!$B$11,Paramètres!$A$1:$I$89,3,0)*0.475*44/12</f>
        <v>14.7829836379917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58.500979290551392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394.69391436029986</v>
      </c>
      <c r="T103" s="62">
        <f t="shared" si="88"/>
        <v>311.37245656657353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164.45208513544603</v>
      </c>
      <c r="AA103" s="23">
        <f>EXP(-LN(2)/25)*AA102+(1-EXP(-LN(2)/25))/(LN(2)/25)*Calculateur!V103*Calculateur!X103*VLOOKUP('Données projet'!$B$9,Paramètres!$A$1:$I$89,3,0)*0.475*44/12</f>
        <v>1.2824811325966121</v>
      </c>
      <c r="AB103" s="23">
        <f>EXP(-LN(2)/2)*AB102+(1-EXP(-LN(2)/2))/(LN(2)/2)*V103*Y103*VLOOKUP('Données projet'!$B$9,Paramètres!$A$1:$I$89,3,0)*0.475*44/12</f>
        <v>0.11298418458323695</v>
      </c>
      <c r="AC103" s="24">
        <f t="shared" si="57"/>
        <v>165.84755045262588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5.6843418860808015E-14</v>
      </c>
      <c r="AJ103" s="14">
        <f>AI103*VLOOKUP('Données projet'!$B$10,Paramètres!$A$1:$I$89,3,0)*VLOOKUP('Données projet'!$B$10,Paramètres!$A$1:$I$89,5,0)</f>
        <v>2.6602720026858149E-14</v>
      </c>
      <c r="AK103" s="14">
        <f t="shared" si="89"/>
        <v>4.6624771586320878E-13</v>
      </c>
      <c r="AL103" s="22">
        <f t="shared" si="58"/>
        <v>8.583811758418665E-13</v>
      </c>
      <c r="AM103" s="62">
        <f t="shared" si="59"/>
        <v>277.40405518371006</v>
      </c>
      <c r="AN103" s="62">
        <f ca="1">AVERAGE(OFFSET($AM$3,0,0,'Données projet'!$E$10+1,1))-AVERAGE(OFFSET($H$3,0,0,'Données projet'!$E$10+1,1))</f>
        <v>215.50514301701057</v>
      </c>
      <c r="AO103" s="62">
        <f t="shared" si="90"/>
        <v>273.18950868898253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61.190119486621349</v>
      </c>
      <c r="AV103" s="23">
        <f>EXP(-LN(2)/25)*AV102+(1-EXP(-LN(2)/25))/(LN(2)/25)*Calculateur!AQ103*Calculateur!AS103*VLOOKUP('Données projet'!$B$10,Paramètres!$A$1:$I$89,3,0)*0.475*44/12</f>
        <v>1.0836549230303407</v>
      </c>
      <c r="AW103" s="23">
        <f>EXP(-LN(2)/2)*AW102+(1-EXP(-LN(2)/2))/(LN(2)/2)*AQ103*AT103*VLOOKUP('Données projet'!$B$10,Paramètres!$A$1:$I$89,3,0)*0.475*44/12</f>
        <v>2.7930831339924508E-5</v>
      </c>
      <c r="AX103" s="23">
        <f t="shared" si="60"/>
        <v>62.273802340483023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282</v>
      </c>
      <c r="BB103" s="13">
        <f>VLOOKUP(A103,'Données projet'!$A$87:$I$107,9,0)</f>
        <v>4.8</v>
      </c>
      <c r="BC103" s="13">
        <f t="array" ref="BC103">INDEX(BB:BB,MIN(IF(ISNUMBER(BB103:BB299),ROW(BB103:BB299),"")))</f>
        <v>4.8</v>
      </c>
      <c r="BD103" s="13">
        <f>IF('Données projet'!$A$88&gt;35,BD102+BC103-BL102,IF(A103&lt;'Données projet'!$A$88,$BA$205^A103,IF(A103='Données projet'!$A$88,'Données projet'!$B$88,BD102+BC103-BL102)))</f>
        <v>281.99999999999989</v>
      </c>
      <c r="BE103" s="14">
        <f>BD103*VLOOKUP('Données projet'!$B$11,Paramètres!$A$1:$I$89,3,0)*VLOOKUP('Données projet'!$B$11,Paramètres!$A$1:$I$89,5,0)</f>
        <v>285.94799999999992</v>
      </c>
      <c r="BF103" s="14">
        <f t="shared" si="91"/>
        <v>68.222450362989363</v>
      </c>
      <c r="BG103" s="22">
        <f t="shared" si="61"/>
        <v>616.84686771553959</v>
      </c>
      <c r="BH103" s="62">
        <f t="shared" si="62"/>
        <v>894.25092289924874</v>
      </c>
      <c r="BI103" s="62">
        <f ca="1">AVERAGE(OFFSET($BH$3,0,0,'Données projet'!$E$11+1,1))-AVERAGE(OFFSET($H$3,0,0,'Données projet'!$E$11+1,1))</f>
        <v>396.06968288200386</v>
      </c>
      <c r="BJ103" s="62">
        <f t="shared" si="92"/>
        <v>273.35778700650792</v>
      </c>
      <c r="BK103" s="16">
        <f>IF(ISNA(VLOOKUP(A103,'Données projet'!$A$87:$I$107,3,0)),0,VLOOKUP(A103,'Données projet'!$A$87:$I$107,3,0))</f>
        <v>16</v>
      </c>
      <c r="BL103" s="16">
        <f>IF(ISNA(VLOOKUP(A103,'Données projet'!$A$87:$I$107,4,0)),0,VLOOKUP(A103,'Données projet'!$A$87:$I$107,4,0))</f>
        <v>282</v>
      </c>
      <c r="BM103" s="17">
        <f>IF(ISNA(VLOOKUP(A103,'Données projet'!$A$87:$I$107,5,0)),0%,VLOOKUP(A103,'Données projet'!$A$87:$I$107,5,0)*VLOOKUP('Données projet'!$B$11,Paramètres!$A$1:$I$89,7,0))</f>
        <v>0.32250000000000001</v>
      </c>
      <c r="BN103" s="17">
        <f>IF(ISNA(VLOOKUP(A103,'Données projet'!$A$87:$I$107,6,0)),0%,VLOOKUP(A103,'Données projet'!$A$87:$I$107,6,0)*VLOOKUP('Données projet'!$B$11,Paramètres!$A$1:$I$89,7,0))</f>
        <v>0.1075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144.80523414111425</v>
      </c>
      <c r="BQ103" s="23">
        <f>EXP(-LN(2)/25)*BQ102+(1-EXP(-LN(2)/25))/(LN(2)/25)*Calculateur!BL103*Calculateur!BN103*VLOOKUP('Données projet'!$B$11,Paramètres!$A$1:$I$89,3,0)*0.475*44/12</f>
        <v>48.226451270355895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193.03168541147016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394.69391436029986</v>
      </c>
      <c r="T104" s="62">
        <f t="shared" si="88"/>
        <v>311.37245656657353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161.22728005180747</v>
      </c>
      <c r="AA104" s="23">
        <f>EXP(-LN(2)/25)*AA103+(1-EXP(-LN(2)/25))/(LN(2)/25)*Calculateur!V104*Calculateur!X104*VLOOKUP('Données projet'!$B$9,Paramètres!$A$1:$I$89,3,0)*0.475*44/12</f>
        <v>1.2474116185830062</v>
      </c>
      <c r="AB104" s="23">
        <f>EXP(-LN(2)/2)*AB103+(1-EXP(-LN(2)/2))/(LN(2)/2)*V104*Y104*VLOOKUP('Données projet'!$B$9,Paramètres!$A$1:$I$89,3,0)*0.475*44/12</f>
        <v>7.9891883085639423E-2</v>
      </c>
      <c r="AC104" s="24">
        <f t="shared" si="57"/>
        <v>162.55458355347614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5.6843418860808015E-14</v>
      </c>
      <c r="AJ104" s="14">
        <f>AI104*VLOOKUP('Données projet'!$B$10,Paramètres!$A$1:$I$89,3,0)*VLOOKUP('Données projet'!$B$10,Paramètres!$A$1:$I$89,5,0)</f>
        <v>2.6602720026858149E-14</v>
      </c>
      <c r="AK104" s="14">
        <f t="shared" si="89"/>
        <v>4.6624771586320878E-13</v>
      </c>
      <c r="AL104" s="22">
        <f t="shared" si="58"/>
        <v>8.583811758418665E-13</v>
      </c>
      <c r="AM104" s="62">
        <f t="shared" si="59"/>
        <v>277.68039254707526</v>
      </c>
      <c r="AN104" s="62">
        <f ca="1">AVERAGE(OFFSET($AM$3,0,0,'Données projet'!$E$10+1,1))-AVERAGE(OFFSET($H$3,0,0,'Données projet'!$E$10+1,1))</f>
        <v>215.50514301701057</v>
      </c>
      <c r="AO104" s="62">
        <f t="shared" si="90"/>
        <v>273.18950868898253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59.990218565776324</v>
      </c>
      <c r="AV104" s="23">
        <f>EXP(-LN(2)/25)*AV103+(1-EXP(-LN(2)/25))/(LN(2)/25)*Calculateur!AQ104*Calculateur!AS104*VLOOKUP('Données projet'!$B$10,Paramètres!$A$1:$I$89,3,0)*0.475*44/12</f>
        <v>1.0540223221731404</v>
      </c>
      <c r="AW104" s="23">
        <f>EXP(-LN(2)/2)*AW103+(1-EXP(-LN(2)/2))/(LN(2)/2)*AQ104*AT104*VLOOKUP('Données projet'!$B$10,Paramètres!$A$1:$I$89,3,0)*0.475*44/12</f>
        <v>1.9750080244638363E-5</v>
      </c>
      <c r="AX104" s="23">
        <f t="shared" si="60"/>
        <v>61.044260638029705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-1.1368683772161603E-13</v>
      </c>
      <c r="BE104" s="14">
        <f>BD104*VLOOKUP('Données projet'!$B$11,Paramètres!$A$1:$I$89,3,0)*VLOOKUP('Données projet'!$B$11,Paramètres!$A$1:$I$89,5,0)</f>
        <v>-1.1527845344971866E-13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396.06968288200386</v>
      </c>
      <c r="BJ104" s="62">
        <f t="shared" si="92"/>
        <v>273.35778700650792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141.96569182207872</v>
      </c>
      <c r="BQ104" s="23">
        <f>EXP(-LN(2)/25)*BQ103+(1-EXP(-LN(2)/25))/(LN(2)/25)*Calculateur!BL104*Calculateur!BN104*VLOOKUP('Données projet'!$B$11,Paramètres!$A$1:$I$89,3,0)*0.475*44/12</f>
        <v>46.907696424249167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188.87338824632789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394.69391436029986</v>
      </c>
      <c r="T105" s="62">
        <f t="shared" si="88"/>
        <v>311.37245656657353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158.06571142892219</v>
      </c>
      <c r="AA105" s="23">
        <f>EXP(-LN(2)/25)*AA104+(1-EXP(-LN(2)/25))/(LN(2)/25)*Calculateur!V105*Calculateur!X105*VLOOKUP('Données projet'!$B$9,Paramètres!$A$1:$I$89,3,0)*0.475*44/12</f>
        <v>1.213301082274328</v>
      </c>
      <c r="AB105" s="23">
        <f>EXP(-LN(2)/2)*AB104+(1-EXP(-LN(2)/2))/(LN(2)/2)*V105*Y105*VLOOKUP('Données projet'!$B$9,Paramètres!$A$1:$I$89,3,0)*0.475*44/12</f>
        <v>5.6492092291618473E-2</v>
      </c>
      <c r="AC105" s="24">
        <f t="shared" si="57"/>
        <v>159.33550460348815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5.6843418860808015E-14</v>
      </c>
      <c r="AJ105" s="14">
        <f>AI105*VLOOKUP('Données projet'!$B$10,Paramètres!$A$1:$I$89,3,0)*VLOOKUP('Données projet'!$B$10,Paramètres!$A$1:$I$89,5,0)</f>
        <v>2.6602720026858149E-14</v>
      </c>
      <c r="AK105" s="14">
        <f t="shared" si="89"/>
        <v>4.6624771586320878E-13</v>
      </c>
      <c r="AL105" s="22">
        <f t="shared" si="58"/>
        <v>8.583811758418665E-13</v>
      </c>
      <c r="AM105" s="62">
        <f t="shared" si="59"/>
        <v>277.95193607498379</v>
      </c>
      <c r="AN105" s="62">
        <f ca="1">AVERAGE(OFFSET($AM$3,0,0,'Données projet'!$E$10+1,1))-AVERAGE(OFFSET($H$3,0,0,'Données projet'!$E$10+1,1))</f>
        <v>215.50514301701057</v>
      </c>
      <c r="AO105" s="62">
        <f t="shared" si="90"/>
        <v>273.18950868898253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58.813846970121773</v>
      </c>
      <c r="AV105" s="23">
        <f>EXP(-LN(2)/25)*AV104+(1-EXP(-LN(2)/25))/(LN(2)/25)*Calculateur!AQ105*Calculateur!AS105*VLOOKUP('Données projet'!$B$10,Paramètres!$A$1:$I$89,3,0)*0.475*44/12</f>
        <v>1.025200026344691</v>
      </c>
      <c r="AW105" s="23">
        <f>EXP(-LN(2)/2)*AW104+(1-EXP(-LN(2)/2))/(LN(2)/2)*AQ105*AT105*VLOOKUP('Données projet'!$B$10,Paramètres!$A$1:$I$89,3,0)*0.475*44/12</f>
        <v>1.3965415669962254E-5</v>
      </c>
      <c r="AX105" s="23">
        <f t="shared" si="60"/>
        <v>59.839060961882133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-1.1368683772161603E-13</v>
      </c>
      <c r="BE105" s="14">
        <f>BD105*VLOOKUP('Données projet'!$B$11,Paramètres!$A$1:$I$89,3,0)*VLOOKUP('Données projet'!$B$11,Paramètres!$A$1:$I$89,5,0)</f>
        <v>-1.1527845344971866E-13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396.06968288200386</v>
      </c>
      <c r="BJ105" s="62">
        <f t="shared" si="92"/>
        <v>273.35778700650792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139.18183119596966</v>
      </c>
      <c r="BQ105" s="23">
        <f>EXP(-LN(2)/25)*BQ104+(1-EXP(-LN(2)/25))/(LN(2)/25)*Calculateur!BL105*Calculateur!BN105*VLOOKUP('Données projet'!$B$11,Paramètres!$A$1:$I$89,3,0)*0.475*44/12</f>
        <v>45.625002998759527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184.80683419472919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394.69391436029986</v>
      </c>
      <c r="T106" s="62">
        <f t="shared" si="88"/>
        <v>311.37245656657353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154.96613923836523</v>
      </c>
      <c r="AA106" s="23">
        <f>EXP(-LN(2)/25)*AA105+(1-EXP(-LN(2)/25))/(LN(2)/25)*Calculateur!V106*Calculateur!X106*VLOOKUP('Données projet'!$B$9,Paramètres!$A$1:$I$89,3,0)*0.475*44/12</f>
        <v>1.1801233003748055</v>
      </c>
      <c r="AB106" s="23">
        <f>EXP(-LN(2)/2)*AB105+(1-EXP(-LN(2)/2))/(LN(2)/2)*V106*Y106*VLOOKUP('Données projet'!$B$9,Paramètres!$A$1:$I$89,3,0)*0.475*44/12</f>
        <v>3.9945941542819711E-2</v>
      </c>
      <c r="AC106" s="24">
        <f t="shared" si="57"/>
        <v>156.18620848028286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5.6843418860808015E-14</v>
      </c>
      <c r="AJ106" s="14">
        <f>AI106*VLOOKUP('Données projet'!$B$10,Paramètres!$A$1:$I$89,3,0)*VLOOKUP('Données projet'!$B$10,Paramètres!$A$1:$I$89,5,0)</f>
        <v>2.6602720026858149E-14</v>
      </c>
      <c r="AK106" s="14">
        <f t="shared" si="89"/>
        <v>4.6624771586320878E-13</v>
      </c>
      <c r="AL106" s="22">
        <f t="shared" si="58"/>
        <v>8.583811758418665E-13</v>
      </c>
      <c r="AM106" s="62">
        <f t="shared" si="59"/>
        <v>278.21876892976354</v>
      </c>
      <c r="AN106" s="62">
        <f ca="1">AVERAGE(OFFSET($AM$3,0,0,'Données projet'!$E$10+1,1))-AVERAGE(OFFSET($H$3,0,0,'Données projet'!$E$10+1,1))</f>
        <v>215.50514301701057</v>
      </c>
      <c r="AO106" s="62">
        <f t="shared" si="90"/>
        <v>273.18950868898253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57.660543303942184</v>
      </c>
      <c r="AV106" s="23">
        <f>EXP(-LN(2)/25)*AV105+(1-EXP(-LN(2)/25))/(LN(2)/25)*Calculateur!AQ106*Calculateur!AS106*VLOOKUP('Données projet'!$B$10,Paramètres!$A$1:$I$89,3,0)*0.475*44/12</f>
        <v>0.99716587771136911</v>
      </c>
      <c r="AW106" s="23">
        <f>EXP(-LN(2)/2)*AW105+(1-EXP(-LN(2)/2))/(LN(2)/2)*AQ106*AT106*VLOOKUP('Données projet'!$B$10,Paramètres!$A$1:$I$89,3,0)*0.475*44/12</f>
        <v>9.8750401223191815E-6</v>
      </c>
      <c r="AX106" s="23">
        <f t="shared" si="60"/>
        <v>58.657719056693672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-1.1368683772161603E-13</v>
      </c>
      <c r="BE106" s="14">
        <f>BD106*VLOOKUP('Données projet'!$B$11,Paramètres!$A$1:$I$89,3,0)*VLOOKUP('Données projet'!$B$11,Paramètres!$A$1:$I$89,5,0)</f>
        <v>-1.1527845344971866E-13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396.06968288200386</v>
      </c>
      <c r="BJ106" s="62">
        <f t="shared" si="92"/>
        <v>273.35778700650792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136.45256037875129</v>
      </c>
      <c r="BQ106" s="23">
        <f>EXP(-LN(2)/25)*BQ105+(1-EXP(-LN(2)/25))/(LN(2)/25)*Calculateur!BL106*Calculateur!BN106*VLOOKUP('Données projet'!$B$11,Paramètres!$A$1:$I$89,3,0)*0.475*44/12</f>
        <v>44.377384892443814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180.8299452711951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394.69391436029986</v>
      </c>
      <c r="T107" s="62">
        <f t="shared" si="88"/>
        <v>311.37245656657353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151.92734776791275</v>
      </c>
      <c r="AA107" s="23">
        <f>EXP(-LN(2)/25)*AA106+(1-EXP(-LN(2)/25))/(LN(2)/25)*Calculateur!V107*Calculateur!X107*VLOOKUP('Données projet'!$B$9,Paramètres!$A$1:$I$89,3,0)*0.475*44/12</f>
        <v>1.1478527666660694</v>
      </c>
      <c r="AB107" s="23">
        <f>EXP(-LN(2)/2)*AB106+(1-EXP(-LN(2)/2))/(LN(2)/2)*V107*Y107*VLOOKUP('Données projet'!$B$9,Paramètres!$A$1:$I$89,3,0)*0.475*44/12</f>
        <v>2.8246046145809237E-2</v>
      </c>
      <c r="AC107" s="24">
        <f t="shared" si="57"/>
        <v>153.10344658072461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5.6843418860808015E-14</v>
      </c>
      <c r="AJ107" s="14">
        <f>AI107*VLOOKUP('Données projet'!$B$10,Paramètres!$A$1:$I$89,3,0)*VLOOKUP('Données projet'!$B$10,Paramètres!$A$1:$I$89,5,0)</f>
        <v>2.6602720026858149E-14</v>
      </c>
      <c r="AK107" s="14">
        <f t="shared" si="89"/>
        <v>4.6624771586320878E-13</v>
      </c>
      <c r="AL107" s="22">
        <f t="shared" si="58"/>
        <v>8.583811758418665E-13</v>
      </c>
      <c r="AM107" s="62">
        <f t="shared" si="59"/>
        <v>278.48097283106176</v>
      </c>
      <c r="AN107" s="62">
        <f ca="1">AVERAGE(OFFSET($AM$3,0,0,'Données projet'!$E$10+1,1))-AVERAGE(OFFSET($H$3,0,0,'Données projet'!$E$10+1,1))</f>
        <v>215.50514301701057</v>
      </c>
      <c r="AO107" s="62">
        <f t="shared" si="90"/>
        <v>273.18950868898253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56.529855219210596</v>
      </c>
      <c r="AV107" s="23">
        <f>EXP(-LN(2)/25)*AV106+(1-EXP(-LN(2)/25))/(LN(2)/25)*Calculateur!AQ107*Calculateur!AS107*VLOOKUP('Données projet'!$B$10,Paramètres!$A$1:$I$89,3,0)*0.475*44/12</f>
        <v>0.96989832434667722</v>
      </c>
      <c r="AW107" s="23">
        <f>EXP(-LN(2)/2)*AW106+(1-EXP(-LN(2)/2))/(LN(2)/2)*AQ107*AT107*VLOOKUP('Données projet'!$B$10,Paramètres!$A$1:$I$89,3,0)*0.475*44/12</f>
        <v>6.9827078349811271E-6</v>
      </c>
      <c r="AX107" s="23">
        <f t="shared" si="60"/>
        <v>57.499760526265113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-1.1368683772161603E-13</v>
      </c>
      <c r="BE107" s="14">
        <f>BD107*VLOOKUP('Données projet'!$B$11,Paramètres!$A$1:$I$89,3,0)*VLOOKUP('Données projet'!$B$11,Paramètres!$A$1:$I$89,5,0)</f>
        <v>-1.1527845344971866E-13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396.06968288200386</v>
      </c>
      <c r="BJ107" s="62">
        <f t="shared" si="92"/>
        <v>273.35778700650792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133.77680889756775</v>
      </c>
      <c r="BQ107" s="23">
        <f>EXP(-LN(2)/25)*BQ106+(1-EXP(-LN(2)/25))/(LN(2)/25)*Calculateur!BL107*Calculateur!BN107*VLOOKUP('Données projet'!$B$11,Paramètres!$A$1:$I$89,3,0)*0.475*44/12</f>
        <v>43.163882968854693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176.94069186642244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394.69391436029986</v>
      </c>
      <c r="T108" s="62">
        <f t="shared" si="88"/>
        <v>311.37245656657353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148.94814514471605</v>
      </c>
      <c r="AA108" s="23">
        <f>EXP(-LN(2)/25)*AA107+(1-EXP(-LN(2)/25))/(LN(2)/25)*Calculateur!V108*Calculateur!X108*VLOOKUP('Données projet'!$B$9,Paramètres!$A$1:$I$89,3,0)*0.475*44/12</f>
        <v>1.1164646723986322</v>
      </c>
      <c r="AB108" s="23">
        <f>EXP(-LN(2)/2)*AB107+(1-EXP(-LN(2)/2))/(LN(2)/2)*V108*Y108*VLOOKUP('Données projet'!$B$9,Paramètres!$A$1:$I$89,3,0)*0.475*44/12</f>
        <v>1.9972970771409856E-2</v>
      </c>
      <c r="AC108" s="24">
        <f t="shared" si="57"/>
        <v>150.08458278788609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5.6843418860808015E-14</v>
      </c>
      <c r="AJ108" s="14">
        <f>AI108*VLOOKUP('Données projet'!$B$10,Paramètres!$A$1:$I$89,3,0)*VLOOKUP('Données projet'!$B$10,Paramètres!$A$1:$I$89,5,0)</f>
        <v>2.6602720026858149E-14</v>
      </c>
      <c r="AK108" s="14">
        <f t="shared" si="89"/>
        <v>4.6624771586320878E-13</v>
      </c>
      <c r="AL108" s="22">
        <f t="shared" si="58"/>
        <v>8.583811758418665E-13</v>
      </c>
      <c r="AM108" s="62">
        <f t="shared" si="59"/>
        <v>278.73862808087262</v>
      </c>
      <c r="AN108" s="62">
        <f ca="1">AVERAGE(OFFSET($AM$3,0,0,'Données projet'!$E$10+1,1))-AVERAGE(OFFSET($H$3,0,0,'Données projet'!$E$10+1,1))</f>
        <v>215.50514301701057</v>
      </c>
      <c r="AO108" s="62">
        <f t="shared" si="90"/>
        <v>273.18950868898253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55.421339238168962</v>
      </c>
      <c r="AV108" s="23">
        <f>EXP(-LN(2)/25)*AV107+(1-EXP(-LN(2)/25))/(LN(2)/25)*Calculateur!AQ108*Calculateur!AS108*VLOOKUP('Données projet'!$B$10,Paramètres!$A$1:$I$89,3,0)*0.475*44/12</f>
        <v>0.94337640366268116</v>
      </c>
      <c r="AW108" s="23">
        <f>EXP(-LN(2)/2)*AW107+(1-EXP(-LN(2)/2))/(LN(2)/2)*AQ108*AT108*VLOOKUP('Données projet'!$B$10,Paramètres!$A$1:$I$89,3,0)*0.475*44/12</f>
        <v>4.9375200611595907E-6</v>
      </c>
      <c r="AX108" s="23">
        <f t="shared" si="60"/>
        <v>56.364720579351705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-1.1368683772161603E-13</v>
      </c>
      <c r="BE108" s="14">
        <f>BD108*VLOOKUP('Données projet'!$B$11,Paramètres!$A$1:$I$89,3,0)*VLOOKUP('Données projet'!$B$11,Paramètres!$A$1:$I$89,5,0)</f>
        <v>-1.1527845344971866E-13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396.06968288200386</v>
      </c>
      <c r="BJ108" s="62">
        <f t="shared" si="92"/>
        <v>273.35778700650792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131.15352727088296</v>
      </c>
      <c r="BQ108" s="23">
        <f>EXP(-LN(2)/25)*BQ107+(1-EXP(-LN(2)/25))/(LN(2)/25)*Calculateur!BL108*Calculateur!BN108*VLOOKUP('Données projet'!$B$11,Paramètres!$A$1:$I$89,3,0)*0.475*44/12</f>
        <v>41.983564319181411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173.13709159006436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394.69391436029986</v>
      </c>
      <c r="T109" s="62">
        <f t="shared" si="88"/>
        <v>311.37245656657353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146.02736286782607</v>
      </c>
      <c r="AA109" s="23">
        <f>EXP(-LN(2)/25)*AA108+(1-EXP(-LN(2)/25))/(LN(2)/25)*Calculateur!V109*Calculateur!X109*VLOOKUP('Données projet'!$B$9,Paramètres!$A$1:$I$89,3,0)*0.475*44/12</f>
        <v>1.0859348872195662</v>
      </c>
      <c r="AB109" s="23">
        <f>EXP(-LN(2)/2)*AB108+(1-EXP(-LN(2)/2))/(LN(2)/2)*V109*Y109*VLOOKUP('Données projet'!$B$9,Paramètres!$A$1:$I$89,3,0)*0.475*44/12</f>
        <v>1.4123023072904618E-2</v>
      </c>
      <c r="AC109" s="24">
        <f t="shared" si="57"/>
        <v>147.12742077811853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5.6843418860808015E-14</v>
      </c>
      <c r="AJ109" s="14">
        <f>AI109*VLOOKUP('Données projet'!$B$10,Paramètres!$A$1:$I$89,3,0)*VLOOKUP('Données projet'!$B$10,Paramètres!$A$1:$I$89,5,0)</f>
        <v>2.6602720026858149E-14</v>
      </c>
      <c r="AK109" s="14">
        <f t="shared" si="89"/>
        <v>4.6624771586320878E-13</v>
      </c>
      <c r="AL109" s="22">
        <f t="shared" si="58"/>
        <v>8.583811758418665E-13</v>
      </c>
      <c r="AM109" s="62">
        <f t="shared" si="59"/>
        <v>278.99181358812996</v>
      </c>
      <c r="AN109" s="62">
        <f ca="1">AVERAGE(OFFSET($AM$3,0,0,'Données projet'!$E$10+1,1))-AVERAGE(OFFSET($H$3,0,0,'Données projet'!$E$10+1,1))</f>
        <v>215.50514301701057</v>
      </c>
      <c r="AO109" s="62">
        <f t="shared" si="90"/>
        <v>273.18950868898253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54.334560579387571</v>
      </c>
      <c r="AV109" s="23">
        <f>EXP(-LN(2)/25)*AV108+(1-EXP(-LN(2)/25))/(LN(2)/25)*Calculateur!AQ109*Calculateur!AS109*VLOOKUP('Données projet'!$B$10,Paramètres!$A$1:$I$89,3,0)*0.475*44/12</f>
        <v>0.91757972629451623</v>
      </c>
      <c r="AW109" s="23">
        <f>EXP(-LN(2)/2)*AW108+(1-EXP(-LN(2)/2))/(LN(2)/2)*AQ109*AT109*VLOOKUP('Données projet'!$B$10,Paramètres!$A$1:$I$89,3,0)*0.475*44/12</f>
        <v>3.4913539174905635E-6</v>
      </c>
      <c r="AX109" s="23">
        <f t="shared" si="60"/>
        <v>55.252143797036005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-1.1368683772161603E-13</v>
      </c>
      <c r="BE109" s="14">
        <f>BD109*VLOOKUP('Données projet'!$B$11,Paramètres!$A$1:$I$89,3,0)*VLOOKUP('Données projet'!$B$11,Paramètres!$A$1:$I$89,5,0)</f>
        <v>-1.1527845344971866E-13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396.06968288200386</v>
      </c>
      <c r="BJ109" s="62">
        <f t="shared" si="92"/>
        <v>273.35778700650792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128.58168659685364</v>
      </c>
      <c r="BQ109" s="23">
        <f>EXP(-LN(2)/25)*BQ108+(1-EXP(-LN(2)/25))/(LN(2)/25)*Calculateur!BL109*Calculateur!BN109*VLOOKUP('Données projet'!$B$11,Paramètres!$A$1:$I$89,3,0)*0.475*44/12</f>
        <v>40.835521545053702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169.41720814190734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394.69391436029986</v>
      </c>
      <c r="T110" s="62">
        <f t="shared" si="88"/>
        <v>311.37245656657353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143.16385534988461</v>
      </c>
      <c r="AA110" s="23">
        <f>EXP(-LN(2)/25)*AA109+(1-EXP(-LN(2)/25))/(LN(2)/25)*Calculateur!V110*Calculateur!X110*VLOOKUP('Données projet'!$B$9,Paramètres!$A$1:$I$89,3,0)*0.475*44/12</f>
        <v>1.0562399406217133</v>
      </c>
      <c r="AB110" s="23">
        <f>EXP(-LN(2)/2)*AB109+(1-EXP(-LN(2)/2))/(LN(2)/2)*V110*Y110*VLOOKUP('Données projet'!$B$9,Paramètres!$A$1:$I$89,3,0)*0.475*44/12</f>
        <v>9.9864853857049279E-3</v>
      </c>
      <c r="AC110" s="24">
        <f t="shared" si="57"/>
        <v>144.23008177589202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5.6843418860808015E-14</v>
      </c>
      <c r="AJ110" s="14">
        <f>AI110*VLOOKUP('Données projet'!$B$10,Paramètres!$A$1:$I$89,3,0)*VLOOKUP('Données projet'!$B$10,Paramètres!$A$1:$I$89,5,0)</f>
        <v>2.6602720026858149E-14</v>
      </c>
      <c r="AK110" s="14">
        <f t="shared" si="89"/>
        <v>4.6624771586320878E-13</v>
      </c>
      <c r="AL110" s="22">
        <f t="shared" si="58"/>
        <v>8.583811758418665E-13</v>
      </c>
      <c r="AM110" s="62">
        <f t="shared" si="59"/>
        <v>279.2406068928745</v>
      </c>
      <c r="AN110" s="62">
        <f ca="1">AVERAGE(OFFSET($AM$3,0,0,'Données projet'!$E$10+1,1))-AVERAGE(OFFSET($H$3,0,0,'Données projet'!$E$10+1,1))</f>
        <v>215.50514301701057</v>
      </c>
      <c r="AO110" s="62">
        <f t="shared" si="90"/>
        <v>273.18950868898253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53.269092987235354</v>
      </c>
      <c r="AV110" s="23">
        <f>EXP(-LN(2)/25)*AV109+(1-EXP(-LN(2)/25))/(LN(2)/25)*Calculateur!AQ110*Calculateur!AS110*VLOOKUP('Données projet'!$B$10,Paramètres!$A$1:$I$89,3,0)*0.475*44/12</f>
        <v>0.89248846042557206</v>
      </c>
      <c r="AW110" s="23">
        <f>EXP(-LN(2)/2)*AW109+(1-EXP(-LN(2)/2))/(LN(2)/2)*AQ110*AT110*VLOOKUP('Données projet'!$B$10,Paramètres!$A$1:$I$89,3,0)*0.475*44/12</f>
        <v>2.4687600305797954E-6</v>
      </c>
      <c r="AX110" s="23">
        <f t="shared" si="60"/>
        <v>54.161583916420959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-1.1368683772161603E-13</v>
      </c>
      <c r="BE110" s="14">
        <f>BD110*VLOOKUP('Données projet'!$B$11,Paramètres!$A$1:$I$89,3,0)*VLOOKUP('Données projet'!$B$11,Paramètres!$A$1:$I$89,5,0)</f>
        <v>-1.1527845344971866E-13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396.06968288200386</v>
      </c>
      <c r="BJ110" s="62">
        <f t="shared" si="92"/>
        <v>273.35778700650792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126.06027814977413</v>
      </c>
      <c r="BQ110" s="23">
        <f>EXP(-LN(2)/25)*BQ109+(1-EXP(-LN(2)/25))/(LN(2)/25)*Calculateur!BL110*Calculateur!BN110*VLOOKUP('Données projet'!$B$11,Paramètres!$A$1:$I$89,3,0)*0.475*44/12</f>
        <v>39.718872060957459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165.77915021073159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394.69391436029986</v>
      </c>
      <c r="T111" s="62">
        <f t="shared" si="88"/>
        <v>311.37245656657353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140.35649946780288</v>
      </c>
      <c r="AA111" s="23">
        <f>EXP(-LN(2)/25)*AA110+(1-EXP(-LN(2)/25))/(LN(2)/25)*Calculateur!V111*Calculateur!X111*VLOOKUP('Données projet'!$B$9,Paramètres!$A$1:$I$89,3,0)*0.475*44/12</f>
        <v>1.0273570039001683</v>
      </c>
      <c r="AB111" s="23">
        <f>EXP(-LN(2)/2)*AB110+(1-EXP(-LN(2)/2))/(LN(2)/2)*V111*Y111*VLOOKUP('Données projet'!$B$9,Paramètres!$A$1:$I$89,3,0)*0.475*44/12</f>
        <v>7.0615115364523091E-3</v>
      </c>
      <c r="AC111" s="24">
        <f t="shared" si="57"/>
        <v>141.39091798323949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5.6843418860808015E-14</v>
      </c>
      <c r="AJ111" s="14">
        <f>AI111*VLOOKUP('Données projet'!$B$10,Paramètres!$A$1:$I$89,3,0)*VLOOKUP('Données projet'!$B$10,Paramètres!$A$1:$I$89,5,0)</f>
        <v>2.6602720026858149E-14</v>
      </c>
      <c r="AK111" s="14">
        <f t="shared" si="89"/>
        <v>4.6624771586320878E-13</v>
      </c>
      <c r="AL111" s="22">
        <f t="shared" si="58"/>
        <v>8.583811758418665E-13</v>
      </c>
      <c r="AM111" s="62">
        <f t="shared" si="59"/>
        <v>279.48508419000018</v>
      </c>
      <c r="AN111" s="62">
        <f ca="1">AVERAGE(OFFSET($AM$3,0,0,'Données projet'!$E$10+1,1))-AVERAGE(OFFSET($H$3,0,0,'Données projet'!$E$10+1,1))</f>
        <v>215.50514301701057</v>
      </c>
      <c r="AO111" s="62">
        <f t="shared" si="90"/>
        <v>273.18950868898253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52.224518564694179</v>
      </c>
      <c r="AV111" s="23">
        <f>EXP(-LN(2)/25)*AV110+(1-EXP(-LN(2)/25))/(LN(2)/25)*Calculateur!AQ111*Calculateur!AS111*VLOOKUP('Données projet'!$B$10,Paramètres!$A$1:$I$89,3,0)*0.475*44/12</f>
        <v>0.86808331654130644</v>
      </c>
      <c r="AW111" s="23">
        <f>EXP(-LN(2)/2)*AW110+(1-EXP(-LN(2)/2))/(LN(2)/2)*AQ111*AT111*VLOOKUP('Données projet'!$B$10,Paramètres!$A$1:$I$89,3,0)*0.475*44/12</f>
        <v>1.7456769587452818E-6</v>
      </c>
      <c r="AX111" s="23">
        <f t="shared" si="60"/>
        <v>53.092603626912449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-1.1368683772161603E-13</v>
      </c>
      <c r="BE111" s="14">
        <f>BD111*VLOOKUP('Données projet'!$B$11,Paramètres!$A$1:$I$89,3,0)*VLOOKUP('Données projet'!$B$11,Paramètres!$A$1:$I$89,5,0)</f>
        <v>-1.1527845344971866E-13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396.06968288200386</v>
      </c>
      <c r="BJ111" s="62">
        <f t="shared" si="92"/>
        <v>273.35778700650792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123.58831298443457</v>
      </c>
      <c r="BQ111" s="23">
        <f>EXP(-LN(2)/25)*BQ110+(1-EXP(-LN(2)/25))/(LN(2)/25)*Calculateur!BL111*Calculateur!BN111*VLOOKUP('Données projet'!$B$11,Paramètres!$A$1:$I$89,3,0)*0.475*44/12</f>
        <v>38.632757415725877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162.22107040016044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394.69391436029986</v>
      </c>
      <c r="T112" s="62">
        <f t="shared" si="88"/>
        <v>311.37245656657353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137.60419412225076</v>
      </c>
      <c r="AA112" s="23">
        <f>EXP(-LN(2)/25)*AA111+(1-EXP(-LN(2)/25))/(LN(2)/25)*Calculateur!V112*Calculateur!X112*VLOOKUP('Données projet'!$B$9,Paramètres!$A$1:$I$89,3,0)*0.475*44/12</f>
        <v>0.99926387260216143</v>
      </c>
      <c r="AB112" s="23">
        <f>EXP(-LN(2)/2)*AB111+(1-EXP(-LN(2)/2))/(LN(2)/2)*V112*Y112*VLOOKUP('Données projet'!$B$9,Paramètres!$A$1:$I$89,3,0)*0.475*44/12</f>
        <v>4.9932426928524639E-3</v>
      </c>
      <c r="AC112" s="24">
        <f t="shared" si="57"/>
        <v>138.60845123754578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5.6843418860808015E-14</v>
      </c>
      <c r="AJ112" s="14">
        <f>AI112*VLOOKUP('Données projet'!$B$10,Paramètres!$A$1:$I$89,3,0)*VLOOKUP('Données projet'!$B$10,Paramètres!$A$1:$I$89,5,0)</f>
        <v>2.6602720026858149E-14</v>
      </c>
      <c r="AK112" s="14">
        <f t="shared" si="89"/>
        <v>4.6624771586320878E-13</v>
      </c>
      <c r="AL112" s="22">
        <f t="shared" si="58"/>
        <v>8.583811758418665E-13</v>
      </c>
      <c r="AM112" s="62">
        <f t="shared" si="59"/>
        <v>279.72532035259013</v>
      </c>
      <c r="AN112" s="62">
        <f ca="1">AVERAGE(OFFSET($AM$3,0,0,'Données projet'!$E$10+1,1))-AVERAGE(OFFSET($H$3,0,0,'Données projet'!$E$10+1,1))</f>
        <v>215.50514301701057</v>
      </c>
      <c r="AO112" s="62">
        <f t="shared" si="90"/>
        <v>273.18950868898253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51.200427609451545</v>
      </c>
      <c r="AV112" s="23">
        <f>EXP(-LN(2)/25)*AV111+(1-EXP(-LN(2)/25))/(LN(2)/25)*Calculateur!AQ112*Calculateur!AS112*VLOOKUP('Données projet'!$B$10,Paramètres!$A$1:$I$89,3,0)*0.475*44/12</f>
        <v>0.84434553259996681</v>
      </c>
      <c r="AW112" s="23">
        <f>EXP(-LN(2)/2)*AW111+(1-EXP(-LN(2)/2))/(LN(2)/2)*AQ112*AT112*VLOOKUP('Données projet'!$B$10,Paramètres!$A$1:$I$89,3,0)*0.475*44/12</f>
        <v>1.2343800152898977E-6</v>
      </c>
      <c r="AX112" s="23">
        <f t="shared" si="60"/>
        <v>52.044774376431526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-1.1368683772161603E-13</v>
      </c>
      <c r="BE112" s="14">
        <f>BD112*VLOOKUP('Données projet'!$B$11,Paramètres!$A$1:$I$89,3,0)*VLOOKUP('Données projet'!$B$11,Paramètres!$A$1:$I$89,5,0)</f>
        <v>-1.1527845344971866E-13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396.06968288200386</v>
      </c>
      <c r="BJ112" s="62">
        <f t="shared" si="92"/>
        <v>273.35778700650792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121.16482154823743</v>
      </c>
      <c r="BQ112" s="23">
        <f>EXP(-LN(2)/25)*BQ111+(1-EXP(-LN(2)/25))/(LN(2)/25)*Calculateur!BL112*Calculateur!BN112*VLOOKUP('Données projet'!$B$11,Paramètres!$A$1:$I$89,3,0)*0.475*44/12</f>
        <v>37.576342632584435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158.74116418082187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394.69391436029986</v>
      </c>
      <c r="T113" s="62">
        <f t="shared" si="88"/>
        <v>311.37245656657353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134.90585980578442</v>
      </c>
      <c r="AA113" s="23">
        <f>EXP(-LN(2)/25)*AA112+(1-EXP(-LN(2)/25))/(LN(2)/25)*Calculateur!V113*Calculateur!X113*VLOOKUP('Données projet'!$B$9,Paramètres!$A$1:$I$89,3,0)*0.475*44/12</f>
        <v>0.97193894945685211</v>
      </c>
      <c r="AB113" s="23">
        <f>EXP(-LN(2)/2)*AB112+(1-EXP(-LN(2)/2))/(LN(2)/2)*V113*Y113*VLOOKUP('Données projet'!$B$9,Paramètres!$A$1:$I$89,3,0)*0.475*44/12</f>
        <v>3.5307557682261546E-3</v>
      </c>
      <c r="AC113" s="24">
        <f t="shared" si="57"/>
        <v>135.88132951100948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5.6843418860808015E-14</v>
      </c>
      <c r="AJ113" s="14">
        <f>AI113*VLOOKUP('Données projet'!$B$10,Paramètres!$A$1:$I$89,3,0)*VLOOKUP('Données projet'!$B$10,Paramètres!$A$1:$I$89,5,0)</f>
        <v>2.6602720026858149E-14</v>
      </c>
      <c r="AK113" s="14">
        <f t="shared" si="89"/>
        <v>4.6624771586320878E-13</v>
      </c>
      <c r="AL113" s="22">
        <f t="shared" si="58"/>
        <v>8.583811758418665E-13</v>
      </c>
      <c r="AM113" s="62">
        <f t="shared" si="59"/>
        <v>279.96138895484671</v>
      </c>
      <c r="AN113" s="62">
        <f ca="1">AVERAGE(OFFSET($AM$3,0,0,'Données projet'!$E$10+1,1))-AVERAGE(OFFSET($H$3,0,0,'Données projet'!$E$10+1,1))</f>
        <v>215.50514301701057</v>
      </c>
      <c r="AO113" s="62">
        <f t="shared" si="90"/>
        <v>273.18950868898253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50.196418453207414</v>
      </c>
      <c r="AV113" s="23">
        <f>EXP(-LN(2)/25)*AV112+(1-EXP(-LN(2)/25))/(LN(2)/25)*Calculateur!AQ113*Calculateur!AS113*VLOOKUP('Données projet'!$B$10,Paramètres!$A$1:$I$89,3,0)*0.475*44/12</f>
        <v>0.82125685960881889</v>
      </c>
      <c r="AW113" s="23">
        <f>EXP(-LN(2)/2)*AW112+(1-EXP(-LN(2)/2))/(LN(2)/2)*AQ113*AT113*VLOOKUP('Données projet'!$B$10,Paramètres!$A$1:$I$89,3,0)*0.475*44/12</f>
        <v>8.7283847937264088E-7</v>
      </c>
      <c r="AX113" s="23">
        <f t="shared" si="60"/>
        <v>51.017676185654707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-1.1368683772161603E-13</v>
      </c>
      <c r="BE113" s="14">
        <f>BD113*VLOOKUP('Données projet'!$B$11,Paramètres!$A$1:$I$89,3,0)*VLOOKUP('Données projet'!$B$11,Paramètres!$A$1:$I$89,5,0)</f>
        <v>-1.1527845344971866E-13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396.06968288200386</v>
      </c>
      <c r="BJ113" s="62">
        <f t="shared" si="92"/>
        <v>273.35778700650792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118.78885330092029</v>
      </c>
      <c r="BQ113" s="23">
        <f>EXP(-LN(2)/25)*BQ112+(1-EXP(-LN(2)/25))/(LN(2)/25)*Calculateur!BL113*Calculateur!BN113*VLOOKUP('Données projet'!$B$11,Paramètres!$A$1:$I$89,3,0)*0.475*44/12</f>
        <v>36.548815567242436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155.33766886816272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394.69391436029986</v>
      </c>
      <c r="T114" s="62">
        <f t="shared" si="88"/>
        <v>311.37245656657353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132.26043817944256</v>
      </c>
      <c r="AA114" s="23">
        <f>EXP(-LN(2)/25)*AA113+(1-EXP(-LN(2)/25))/(LN(2)/25)*Calculateur!V114*Calculateur!X114*VLOOKUP('Données projet'!$B$9,Paramètres!$A$1:$I$89,3,0)*0.475*44/12</f>
        <v>0.94536122777190656</v>
      </c>
      <c r="AB114" s="23">
        <f>EXP(-LN(2)/2)*AB113+(1-EXP(-LN(2)/2))/(LN(2)/2)*V114*Y114*VLOOKUP('Données projet'!$B$9,Paramètres!$A$1:$I$89,3,0)*0.475*44/12</f>
        <v>2.496621346426232E-3</v>
      </c>
      <c r="AC114" s="24">
        <f t="shared" si="57"/>
        <v>133.20829602856091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5.6843418860808015E-14</v>
      </c>
      <c r="AJ114" s="14">
        <f>AI114*VLOOKUP('Données projet'!$B$10,Paramètres!$A$1:$I$89,3,0)*VLOOKUP('Données projet'!$B$10,Paramètres!$A$1:$I$89,5,0)</f>
        <v>2.6602720026858149E-14</v>
      </c>
      <c r="AK114" s="14">
        <f t="shared" si="89"/>
        <v>4.6624771586320878E-13</v>
      </c>
      <c r="AL114" s="22">
        <f t="shared" si="58"/>
        <v>8.583811758418665E-13</v>
      </c>
      <c r="AM114" s="62">
        <f t="shared" si="59"/>
        <v>280.19336229462442</v>
      </c>
      <c r="AN114" s="62">
        <f ca="1">AVERAGE(OFFSET($AM$3,0,0,'Données projet'!$E$10+1,1))-AVERAGE(OFFSET($H$3,0,0,'Données projet'!$E$10+1,1))</f>
        <v>215.50514301701057</v>
      </c>
      <c r="AO114" s="62">
        <f t="shared" si="90"/>
        <v>273.18950868898253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49.212097304132115</v>
      </c>
      <c r="AV114" s="23">
        <f>EXP(-LN(2)/25)*AV113+(1-EXP(-LN(2)/25))/(LN(2)/25)*Calculateur!AQ114*Calculateur!AS114*VLOOKUP('Données projet'!$B$10,Paramètres!$A$1:$I$89,3,0)*0.475*44/12</f>
        <v>0.79879954759479455</v>
      </c>
      <c r="AW114" s="23">
        <f>EXP(-LN(2)/2)*AW113+(1-EXP(-LN(2)/2))/(LN(2)/2)*AQ114*AT114*VLOOKUP('Données projet'!$B$10,Paramètres!$A$1:$I$89,3,0)*0.475*44/12</f>
        <v>6.1719000764494884E-7</v>
      </c>
      <c r="AX114" s="23">
        <f t="shared" si="60"/>
        <v>50.010897468916923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-1.1368683772161603E-13</v>
      </c>
      <c r="BE114" s="14">
        <f>BD114*VLOOKUP('Données projet'!$B$11,Paramètres!$A$1:$I$89,3,0)*VLOOKUP('Données projet'!$B$11,Paramètres!$A$1:$I$89,5,0)</f>
        <v>-1.1527845344971866E-13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396.06968288200386</v>
      </c>
      <c r="BJ114" s="62">
        <f t="shared" si="92"/>
        <v>273.35778700650792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116.45947634173552</v>
      </c>
      <c r="BQ114" s="23">
        <f>EXP(-LN(2)/25)*BQ113+(1-EXP(-LN(2)/25))/(LN(2)/25)*Calculateur!BL114*Calculateur!BN114*VLOOKUP('Données projet'!$B$11,Paramètres!$A$1:$I$89,3,0)*0.475*44/12</f>
        <v>35.549386283537515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152.00886262527303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394.69391436029986</v>
      </c>
      <c r="T115" s="62">
        <f t="shared" si="88"/>
        <v>311.37245656657353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129.66689165764538</v>
      </c>
      <c r="AA115" s="23">
        <f>EXP(-LN(2)/25)*AA114+(1-EXP(-LN(2)/25))/(LN(2)/25)*Calculateur!V115*Calculateur!X115*VLOOKUP('Données projet'!$B$9,Paramètres!$A$1:$I$89,3,0)*0.475*44/12</f>
        <v>0.91951027528409746</v>
      </c>
      <c r="AB115" s="23">
        <f>EXP(-LN(2)/2)*AB114+(1-EXP(-LN(2)/2))/(LN(2)/2)*V115*Y115*VLOOKUP('Données projet'!$B$9,Paramètres!$A$1:$I$89,3,0)*0.475*44/12</f>
        <v>1.7653778841130773E-3</v>
      </c>
      <c r="AC115" s="24">
        <f t="shared" si="57"/>
        <v>130.58816731081359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5.6843418860808015E-14</v>
      </c>
      <c r="AJ115" s="14">
        <f>AI115*VLOOKUP('Données projet'!$B$10,Paramètres!$A$1:$I$89,3,0)*VLOOKUP('Données projet'!$B$10,Paramètres!$A$1:$I$89,5,0)</f>
        <v>2.6602720026858149E-14</v>
      </c>
      <c r="AK115" s="14">
        <f t="shared" si="89"/>
        <v>4.6624771586320878E-13</v>
      </c>
      <c r="AL115" s="22">
        <f t="shared" si="58"/>
        <v>8.583811758418665E-13</v>
      </c>
      <c r="AM115" s="62">
        <f t="shared" si="59"/>
        <v>280.42131141557172</v>
      </c>
      <c r="AN115" s="62">
        <f ca="1">AVERAGE(OFFSET($AM$3,0,0,'Données projet'!$E$10+1,1))-AVERAGE(OFFSET($H$3,0,0,'Données projet'!$E$10+1,1))</f>
        <v>215.50514301701057</v>
      </c>
      <c r="AO115" s="62">
        <f t="shared" si="90"/>
        <v>273.18950868898253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48.247078092413567</v>
      </c>
      <c r="AV115" s="23">
        <f>EXP(-LN(2)/25)*AV114+(1-EXP(-LN(2)/25))/(LN(2)/25)*Calculateur!AQ115*Calculateur!AS115*VLOOKUP('Données projet'!$B$10,Paramètres!$A$1:$I$89,3,0)*0.475*44/12</f>
        <v>0.77695633195877234</v>
      </c>
      <c r="AW115" s="23">
        <f>EXP(-LN(2)/2)*AW114+(1-EXP(-LN(2)/2))/(LN(2)/2)*AQ115*AT115*VLOOKUP('Données projet'!$B$10,Paramètres!$A$1:$I$89,3,0)*0.475*44/12</f>
        <v>4.3641923968632044E-7</v>
      </c>
      <c r="AX115" s="23">
        <f t="shared" si="60"/>
        <v>49.024034860791581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-1.1368683772161603E-13</v>
      </c>
      <c r="BE115" s="14">
        <f>BD115*VLOOKUP('Données projet'!$B$11,Paramètres!$A$1:$I$89,3,0)*VLOOKUP('Données projet'!$B$11,Paramètres!$A$1:$I$89,5,0)</f>
        <v>-1.1527845344971866E-13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396.06968288200386</v>
      </c>
      <c r="BJ115" s="62">
        <f t="shared" si="92"/>
        <v>273.35778700650792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114.17577704394071</v>
      </c>
      <c r="BQ115" s="23">
        <f>EXP(-LN(2)/25)*BQ114+(1-EXP(-LN(2)/25))/(LN(2)/25)*Calculateur!BL115*Calculateur!BN115*VLOOKUP('Données projet'!$B$11,Paramètres!$A$1:$I$89,3,0)*0.475*44/12</f>
        <v>34.577286446153209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148.75306349009392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394.69391436029986</v>
      </c>
      <c r="T116" s="62">
        <f t="shared" si="88"/>
        <v>311.37245656657353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127.12420300123348</v>
      </c>
      <c r="AA116" s="23">
        <f>EXP(-LN(2)/25)*AA115+(1-EXP(-LN(2)/25))/(LN(2)/25)*Calculateur!V116*Calculateur!X116*VLOOKUP('Données projet'!$B$9,Paramètres!$A$1:$I$89,3,0)*0.475*44/12</f>
        <v>0.89436621845150999</v>
      </c>
      <c r="AB116" s="23">
        <f>EXP(-LN(2)/2)*AB115+(1-EXP(-LN(2)/2))/(LN(2)/2)*V116*Y116*VLOOKUP('Données projet'!$B$9,Paramètres!$A$1:$I$89,3,0)*0.475*44/12</f>
        <v>1.248310673213116E-3</v>
      </c>
      <c r="AC116" s="24">
        <f t="shared" si="57"/>
        <v>128.01981753035821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5.6843418860808015E-14</v>
      </c>
      <c r="AJ116" s="14">
        <f>AI116*VLOOKUP('Données projet'!$B$10,Paramètres!$A$1:$I$89,3,0)*VLOOKUP('Données projet'!$B$10,Paramètres!$A$1:$I$89,5,0)</f>
        <v>2.6602720026858149E-14</v>
      </c>
      <c r="AK116" s="14">
        <f t="shared" si="89"/>
        <v>4.6624771586320878E-13</v>
      </c>
      <c r="AL116" s="22">
        <f t="shared" si="58"/>
        <v>8.583811758418665E-13</v>
      </c>
      <c r="AM116" s="62">
        <f t="shared" si="59"/>
        <v>280.64530612888848</v>
      </c>
      <c r="AN116" s="62">
        <f ca="1">AVERAGE(OFFSET($AM$3,0,0,'Données projet'!$E$10+1,1))-AVERAGE(OFFSET($H$3,0,0,'Données projet'!$E$10+1,1))</f>
        <v>215.50514301701057</v>
      </c>
      <c r="AO116" s="62">
        <f t="shared" si="90"/>
        <v>273.18950868898253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47.300982318833221</v>
      </c>
      <c r="AV116" s="23">
        <f>EXP(-LN(2)/25)*AV115+(1-EXP(-LN(2)/25))/(LN(2)/25)*Calculateur!AQ116*Calculateur!AS116*VLOOKUP('Données projet'!$B$10,Paramètres!$A$1:$I$89,3,0)*0.475*44/12</f>
        <v>0.75571042020300194</v>
      </c>
      <c r="AW116" s="23">
        <f>EXP(-LN(2)/2)*AW115+(1-EXP(-LN(2)/2))/(LN(2)/2)*AQ116*AT116*VLOOKUP('Données projet'!$B$10,Paramètres!$A$1:$I$89,3,0)*0.475*44/12</f>
        <v>3.0859500382247442E-7</v>
      </c>
      <c r="AX116" s="23">
        <f t="shared" si="60"/>
        <v>48.056693047631228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-1.1368683772161603E-13</v>
      </c>
      <c r="BE116" s="14">
        <f>BD116*VLOOKUP('Données projet'!$B$11,Paramètres!$A$1:$I$89,3,0)*VLOOKUP('Données projet'!$B$11,Paramètres!$A$1:$I$89,5,0)</f>
        <v>-1.1527845344971866E-13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396.06968288200386</v>
      </c>
      <c r="BJ116" s="62">
        <f t="shared" si="92"/>
        <v>273.35778700650792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111.93685969645662</v>
      </c>
      <c r="BQ116" s="23">
        <f>EXP(-LN(2)/25)*BQ115+(1-EXP(-LN(2)/25))/(LN(2)/25)*Calculateur!BL116*Calculateur!BN116*VLOOKUP('Données projet'!$B$11,Paramètres!$A$1:$I$89,3,0)*0.475*44/12</f>
        <v>33.631768729942685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145.5686284263993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394.69391436029986</v>
      </c>
      <c r="T117" s="62">
        <f t="shared" si="88"/>
        <v>311.37245656657353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124.63137491848687</v>
      </c>
      <c r="AA117" s="23">
        <f>EXP(-LN(2)/25)*AA116+(1-EXP(-LN(2)/25))/(LN(2)/25)*Calculateur!V117*Calculateur!X117*VLOOKUP('Données projet'!$B$9,Paramètres!$A$1:$I$89,3,0)*0.475*44/12</f>
        <v>0.86990972717527815</v>
      </c>
      <c r="AB117" s="23">
        <f>EXP(-LN(2)/2)*AB116+(1-EXP(-LN(2)/2))/(LN(2)/2)*V117*Y117*VLOOKUP('Données projet'!$B$9,Paramètres!$A$1:$I$89,3,0)*0.475*44/12</f>
        <v>8.8268894205653864E-4</v>
      </c>
      <c r="AC117" s="24">
        <f t="shared" si="57"/>
        <v>125.50216733460421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5.6843418860808015E-14</v>
      </c>
      <c r="AJ117" s="14">
        <f>AI117*VLOOKUP('Données projet'!$B$10,Paramètres!$A$1:$I$89,3,0)*VLOOKUP('Données projet'!$B$10,Paramètres!$A$1:$I$89,5,0)</f>
        <v>2.6602720026858149E-14</v>
      </c>
      <c r="AK117" s="14">
        <f t="shared" si="89"/>
        <v>4.6624771586320878E-13</v>
      </c>
      <c r="AL117" s="22">
        <f t="shared" si="58"/>
        <v>8.583811758418665E-13</v>
      </c>
      <c r="AM117" s="62">
        <f t="shared" si="59"/>
        <v>280.8654150347063</v>
      </c>
      <c r="AN117" s="62">
        <f ca="1">AVERAGE(OFFSET($AM$3,0,0,'Données projet'!$E$10+1,1))-AVERAGE(OFFSET($H$3,0,0,'Données projet'!$E$10+1,1))</f>
        <v>215.50514301701057</v>
      </c>
      <c r="AO117" s="62">
        <f t="shared" si="90"/>
        <v>273.18950868898253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46.373438906311343</v>
      </c>
      <c r="AV117" s="23">
        <f>EXP(-LN(2)/25)*AV116+(1-EXP(-LN(2)/25))/(LN(2)/25)*Calculateur!AQ117*Calculateur!AS117*VLOOKUP('Données projet'!$B$10,Paramètres!$A$1:$I$89,3,0)*0.475*44/12</f>
        <v>0.73504547902146711</v>
      </c>
      <c r="AW117" s="23">
        <f>EXP(-LN(2)/2)*AW116+(1-EXP(-LN(2)/2))/(LN(2)/2)*AQ117*AT117*VLOOKUP('Données projet'!$B$10,Paramètres!$A$1:$I$89,3,0)*0.475*44/12</f>
        <v>2.1820961984316022E-7</v>
      </c>
      <c r="AX117" s="23">
        <f t="shared" si="60"/>
        <v>47.108484603542429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-1.1368683772161603E-13</v>
      </c>
      <c r="BE117" s="14">
        <f>BD117*VLOOKUP('Données projet'!$B$11,Paramètres!$A$1:$I$89,3,0)*VLOOKUP('Données projet'!$B$11,Paramètres!$A$1:$I$89,5,0)</f>
        <v>-1.1527845344971866E-13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396.06968288200386</v>
      </c>
      <c r="BJ117" s="62">
        <f t="shared" si="92"/>
        <v>273.35778700650792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109.74184615255196</v>
      </c>
      <c r="BQ117" s="23">
        <f>EXP(-LN(2)/25)*BQ116+(1-EXP(-LN(2)/25))/(LN(2)/25)*Calculateur!BL117*Calculateur!BN117*VLOOKUP('Données projet'!$B$11,Paramètres!$A$1:$I$89,3,0)*0.475*44/12</f>
        <v>32.712106245404549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142.4539523979565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394.69391436029986</v>
      </c>
      <c r="T118" s="62">
        <f t="shared" si="88"/>
        <v>311.37245656657353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122.18742967396793</v>
      </c>
      <c r="AA118" s="23">
        <f>EXP(-LN(2)/25)*AA117+(1-EXP(-LN(2)/25))/(LN(2)/25)*Calculateur!V118*Calculateur!X118*VLOOKUP('Données projet'!$B$9,Paramètres!$A$1:$I$89,3,0)*0.475*44/12</f>
        <v>0.84612199993910586</v>
      </c>
      <c r="AB118" s="23">
        <f>EXP(-LN(2)/2)*AB117+(1-EXP(-LN(2)/2))/(LN(2)/2)*V118*Y118*VLOOKUP('Données projet'!$B$9,Paramètres!$A$1:$I$89,3,0)*0.475*44/12</f>
        <v>6.2415533660655799E-4</v>
      </c>
      <c r="AC118" s="24">
        <f t="shared" si="57"/>
        <v>123.03417582924364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5.6843418860808015E-14</v>
      </c>
      <c r="AJ118" s="14">
        <f>AI118*VLOOKUP('Données projet'!$B$10,Paramètres!$A$1:$I$89,3,0)*VLOOKUP('Données projet'!$B$10,Paramètres!$A$1:$I$89,5,0)</f>
        <v>2.6602720026858149E-14</v>
      </c>
      <c r="AK118" s="14">
        <f t="shared" si="89"/>
        <v>4.6624771586320878E-13</v>
      </c>
      <c r="AL118" s="22">
        <f t="shared" si="58"/>
        <v>8.583811758418665E-13</v>
      </c>
      <c r="AM118" s="62">
        <f t="shared" si="59"/>
        <v>281.08170554309811</v>
      </c>
      <c r="AN118" s="62">
        <f ca="1">AVERAGE(OFFSET($AM$3,0,0,'Données projet'!$E$10+1,1))-AVERAGE(OFFSET($H$3,0,0,'Données projet'!$E$10+1,1))</f>
        <v>215.50514301701057</v>
      </c>
      <c r="AO118" s="62">
        <f t="shared" si="90"/>
        <v>273.18950868898253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45.464084054363397</v>
      </c>
      <c r="AV118" s="23">
        <f>EXP(-LN(2)/25)*AV117+(1-EXP(-LN(2)/25))/(LN(2)/25)*Calculateur!AQ118*Calculateur!AS118*VLOOKUP('Données projet'!$B$10,Paramètres!$A$1:$I$89,3,0)*0.475*44/12</f>
        <v>0.71494562174326337</v>
      </c>
      <c r="AW118" s="23">
        <f>EXP(-LN(2)/2)*AW117+(1-EXP(-LN(2)/2))/(LN(2)/2)*AQ118*AT118*VLOOKUP('Données projet'!$B$10,Paramètres!$A$1:$I$89,3,0)*0.475*44/12</f>
        <v>1.5429750191123721E-7</v>
      </c>
      <c r="AX118" s="23">
        <f t="shared" si="60"/>
        <v>46.179029830404161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-1.1368683772161603E-13</v>
      </c>
      <c r="BE118" s="14">
        <f>BD118*VLOOKUP('Données projet'!$B$11,Paramètres!$A$1:$I$89,3,0)*VLOOKUP('Données projet'!$B$11,Paramètres!$A$1:$I$89,5,0)</f>
        <v>-1.1527845344971866E-13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396.06968288200386</v>
      </c>
      <c r="BJ118" s="62">
        <f t="shared" si="92"/>
        <v>273.35778700650792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107.5898754854172</v>
      </c>
      <c r="BQ118" s="23">
        <f>EXP(-LN(2)/25)*BQ117+(1-EXP(-LN(2)/25))/(LN(2)/25)*Calculateur!BL118*Calculateur!BN118*VLOOKUP('Données projet'!$B$11,Paramètres!$A$1:$I$89,3,0)*0.475*44/12</f>
        <v>31.817591979869057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139.40746746528626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394.69391436029986</v>
      </c>
      <c r="T119" s="62">
        <f t="shared" si="88"/>
        <v>311.37245656657353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119.79140870503458</v>
      </c>
      <c r="AA119" s="23">
        <f>EXP(-LN(2)/25)*AA118+(1-EXP(-LN(2)/25))/(LN(2)/25)*Calculateur!V119*Calculateur!X119*VLOOKUP('Données projet'!$B$9,Paramètres!$A$1:$I$89,3,0)*0.475*44/12</f>
        <v>0.82298474935514887</v>
      </c>
      <c r="AB119" s="23">
        <f>EXP(-LN(2)/2)*AB118+(1-EXP(-LN(2)/2))/(LN(2)/2)*V119*Y119*VLOOKUP('Données projet'!$B$9,Paramètres!$A$1:$I$89,3,0)*0.475*44/12</f>
        <v>4.4134447102826932E-4</v>
      </c>
      <c r="AC119" s="24">
        <f t="shared" si="57"/>
        <v>120.61483479886076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5.6843418860808015E-14</v>
      </c>
      <c r="AJ119" s="14">
        <f>AI119*VLOOKUP('Données projet'!$B$10,Paramètres!$A$1:$I$89,3,0)*VLOOKUP('Données projet'!$B$10,Paramètres!$A$1:$I$89,5,0)</f>
        <v>2.6602720026858149E-14</v>
      </c>
      <c r="AK119" s="14">
        <f t="shared" si="89"/>
        <v>4.6624771586320878E-13</v>
      </c>
      <c r="AL119" s="22">
        <f t="shared" si="58"/>
        <v>8.583811758418665E-13</v>
      </c>
      <c r="AM119" s="62">
        <f t="shared" si="59"/>
        <v>281.29424389472234</v>
      </c>
      <c r="AN119" s="62">
        <f ca="1">AVERAGE(OFFSET($AM$3,0,0,'Données projet'!$E$10+1,1))-AVERAGE(OFFSET($H$3,0,0,'Données projet'!$E$10+1,1))</f>
        <v>215.50514301701057</v>
      </c>
      <c r="AO119" s="62">
        <f t="shared" si="90"/>
        <v>273.18950868898253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44.57256109641046</v>
      </c>
      <c r="AV119" s="23">
        <f>EXP(-LN(2)/25)*AV118+(1-EXP(-LN(2)/25))/(LN(2)/25)*Calculateur!AQ119*Calculateur!AS119*VLOOKUP('Données projet'!$B$10,Paramètres!$A$1:$I$89,3,0)*0.475*44/12</f>
        <v>0.69539539611933765</v>
      </c>
      <c r="AW119" s="23">
        <f>EXP(-LN(2)/2)*AW118+(1-EXP(-LN(2)/2))/(LN(2)/2)*AQ119*AT119*VLOOKUP('Données projet'!$B$10,Paramètres!$A$1:$I$89,3,0)*0.475*44/12</f>
        <v>1.0910480992158011E-7</v>
      </c>
      <c r="AX119" s="23">
        <f t="shared" si="60"/>
        <v>45.267956601634609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-1.1368683772161603E-13</v>
      </c>
      <c r="BE119" s="14">
        <f>BD119*VLOOKUP('Données projet'!$B$11,Paramètres!$A$1:$I$89,3,0)*VLOOKUP('Données projet'!$B$11,Paramètres!$A$1:$I$89,5,0)</f>
        <v>-1.1527845344971866E-13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396.06968288200386</v>
      </c>
      <c r="BJ119" s="62">
        <f t="shared" si="92"/>
        <v>273.35778700650792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105.48010365049244</v>
      </c>
      <c r="BQ119" s="23">
        <f>EXP(-LN(2)/25)*BQ118+(1-EXP(-LN(2)/25))/(LN(2)/25)*Calculateur!BL119*Calculateur!BN119*VLOOKUP('Données projet'!$B$11,Paramètres!$A$1:$I$89,3,0)*0.475*44/12</f>
        <v>30.947538253965096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136.42764190445754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394.69391436029986</v>
      </c>
      <c r="T120" s="62">
        <f t="shared" si="88"/>
        <v>311.37245656657353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117.44237224587354</v>
      </c>
      <c r="AA120" s="23">
        <f>EXP(-LN(2)/25)*AA119+(1-EXP(-LN(2)/25))/(LN(2)/25)*Calculateur!V120*Calculateur!X120*VLOOKUP('Données projet'!$B$9,Paramètres!$A$1:$I$89,3,0)*0.475*44/12</f>
        <v>0.80048018810514532</v>
      </c>
      <c r="AB120" s="23">
        <f>EXP(-LN(2)/2)*AB119+(1-EXP(-LN(2)/2))/(LN(2)/2)*V120*Y120*VLOOKUP('Données projet'!$B$9,Paramètres!$A$1:$I$89,3,0)*0.475*44/12</f>
        <v>3.12077668303279E-4</v>
      </c>
      <c r="AC120" s="24">
        <f t="shared" si="57"/>
        <v>118.24316451164698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5.6843418860808015E-14</v>
      </c>
      <c r="AJ120" s="14">
        <f>AI120*VLOOKUP('Données projet'!$B$10,Paramètres!$A$1:$I$89,3,0)*VLOOKUP('Données projet'!$B$10,Paramètres!$A$1:$I$89,5,0)</f>
        <v>2.6602720026858149E-14</v>
      </c>
      <c r="AK120" s="14">
        <f t="shared" si="89"/>
        <v>4.6624771586320878E-13</v>
      </c>
      <c r="AL120" s="22">
        <f t="shared" si="58"/>
        <v>8.583811758418665E-13</v>
      </c>
      <c r="AM120" s="62">
        <f t="shared" si="59"/>
        <v>281.5030951811105</v>
      </c>
      <c r="AN120" s="62">
        <f ca="1">AVERAGE(OFFSET($AM$3,0,0,'Données projet'!$E$10+1,1))-AVERAGE(OFFSET($H$3,0,0,'Données projet'!$E$10+1,1))</f>
        <v>215.50514301701057</v>
      </c>
      <c r="AO120" s="62">
        <f t="shared" si="90"/>
        <v>273.18950868898253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43.698520359887667</v>
      </c>
      <c r="AV120" s="23">
        <f>EXP(-LN(2)/25)*AV119+(1-EXP(-LN(2)/25))/(LN(2)/25)*Calculateur!AQ120*Calculateur!AS120*VLOOKUP('Données projet'!$B$10,Paramètres!$A$1:$I$89,3,0)*0.475*44/12</f>
        <v>0.6763797724431998</v>
      </c>
      <c r="AW120" s="23">
        <f>EXP(-LN(2)/2)*AW119+(1-EXP(-LN(2)/2))/(LN(2)/2)*AQ120*AT120*VLOOKUP('Données projet'!$B$10,Paramètres!$A$1:$I$89,3,0)*0.475*44/12</f>
        <v>7.7148750955618605E-8</v>
      </c>
      <c r="AX120" s="23">
        <f t="shared" si="60"/>
        <v>44.374900209479613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-1.1368683772161603E-13</v>
      </c>
      <c r="BE120" s="14">
        <f>BD120*VLOOKUP('Données projet'!$B$11,Paramètres!$A$1:$I$89,3,0)*VLOOKUP('Données projet'!$B$11,Paramètres!$A$1:$I$89,5,0)</f>
        <v>-1.1527845344971866E-13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396.06968288200386</v>
      </c>
      <c r="BJ120" s="62">
        <f t="shared" si="92"/>
        <v>273.35778700650792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103.4117031544168</v>
      </c>
      <c r="BQ120" s="23">
        <f>EXP(-LN(2)/25)*BQ119+(1-EXP(-LN(2)/25))/(LN(2)/25)*Calculateur!BL120*Calculateur!BN120*VLOOKUP('Données projet'!$B$11,Paramètres!$A$1:$I$89,3,0)*0.475*44/12</f>
        <v>30.101276192950117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133.51297934736692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394.69391436029986</v>
      </c>
      <c r="T121" s="62">
        <f t="shared" si="88"/>
        <v>311.37245656657353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115.13939895890589</v>
      </c>
      <c r="AA121" s="23">
        <f>EXP(-LN(2)/25)*AA120+(1-EXP(-LN(2)/25))/(LN(2)/25)*Calculateur!V121*Calculateur!X121*VLOOKUP('Données projet'!$B$9,Paramètres!$A$1:$I$89,3,0)*0.475*44/12</f>
        <v>0.77859101526598651</v>
      </c>
      <c r="AB121" s="23">
        <f>EXP(-LN(2)/2)*AB120+(1-EXP(-LN(2)/2))/(LN(2)/2)*V121*Y121*VLOOKUP('Données projet'!$B$9,Paramètres!$A$1:$I$89,3,0)*0.475*44/12</f>
        <v>2.2067223551413466E-4</v>
      </c>
      <c r="AC121" s="24">
        <f t="shared" si="57"/>
        <v>115.91821064640739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5.6843418860808015E-14</v>
      </c>
      <c r="AJ121" s="14">
        <f>AI121*VLOOKUP('Données projet'!$B$10,Paramètres!$A$1:$I$89,3,0)*VLOOKUP('Données projet'!$B$10,Paramètres!$A$1:$I$89,5,0)</f>
        <v>2.6602720026858149E-14</v>
      </c>
      <c r="AK121" s="14">
        <f t="shared" si="89"/>
        <v>4.6624771586320878E-13</v>
      </c>
      <c r="AL121" s="22">
        <f t="shared" si="58"/>
        <v>8.583811758418665E-13</v>
      </c>
      <c r="AM121" s="62">
        <f t="shared" si="59"/>
        <v>281.70832336460126</v>
      </c>
      <c r="AN121" s="62">
        <f ca="1">AVERAGE(OFFSET($AM$3,0,0,'Données projet'!$E$10+1,1))-AVERAGE(OFFSET($H$3,0,0,'Données projet'!$E$10+1,1))</f>
        <v>215.50514301701057</v>
      </c>
      <c r="AO121" s="62">
        <f t="shared" si="90"/>
        <v>273.18950868898253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42.841619029095881</v>
      </c>
      <c r="AV121" s="23">
        <f>EXP(-LN(2)/25)*AV120+(1-EXP(-LN(2)/25))/(LN(2)/25)*Calculateur!AQ121*Calculateur!AS121*VLOOKUP('Données projet'!$B$10,Paramètres!$A$1:$I$89,3,0)*0.475*44/12</f>
        <v>0.65788413199647411</v>
      </c>
      <c r="AW121" s="23">
        <f>EXP(-LN(2)/2)*AW120+(1-EXP(-LN(2)/2))/(LN(2)/2)*AQ121*AT121*VLOOKUP('Données projet'!$B$10,Paramètres!$A$1:$I$89,3,0)*0.475*44/12</f>
        <v>5.4552404960790055E-8</v>
      </c>
      <c r="AX121" s="23">
        <f t="shared" si="60"/>
        <v>43.499503215644758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-1.1368683772161603E-13</v>
      </c>
      <c r="BE121" s="14">
        <f>BD121*VLOOKUP('Données projet'!$B$11,Paramètres!$A$1:$I$89,3,0)*VLOOKUP('Données projet'!$B$11,Paramètres!$A$1:$I$89,5,0)</f>
        <v>-1.1527845344971866E-13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396.06968288200386</v>
      </c>
      <c r="BJ121" s="62">
        <f t="shared" si="92"/>
        <v>273.35778700650792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101.38386273046947</v>
      </c>
      <c r="BQ121" s="23">
        <f>EXP(-LN(2)/25)*BQ120+(1-EXP(-LN(2)/25))/(LN(2)/25)*Calculateur!BL121*Calculateur!BN121*VLOOKUP('Données projet'!$B$11,Paramètres!$A$1:$I$89,3,0)*0.475*44/12</f>
        <v>29.278155212496578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130.66201794296606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394.69391436029986</v>
      </c>
      <c r="T122" s="62">
        <f t="shared" si="88"/>
        <v>311.37245656657353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112.88158557342065</v>
      </c>
      <c r="AA122" s="23">
        <f>EXP(-LN(2)/25)*AA121+(1-EXP(-LN(2)/25))/(LN(2)/25)*Calculateur!V122*Calculateur!X122*VLOOKUP('Données projet'!$B$9,Paramètres!$A$1:$I$89,3,0)*0.475*44/12</f>
        <v>0.75730040300921608</v>
      </c>
      <c r="AB122" s="23">
        <f>EXP(-LN(2)/2)*AB121+(1-EXP(-LN(2)/2))/(LN(2)/2)*V122*Y122*VLOOKUP('Données projet'!$B$9,Paramètres!$A$1:$I$89,3,0)*0.475*44/12</f>
        <v>1.560388341516395E-4</v>
      </c>
      <c r="AC122" s="24">
        <f t="shared" si="57"/>
        <v>113.63904201526401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5.6843418860808015E-14</v>
      </c>
      <c r="AJ122" s="14">
        <f>AI122*VLOOKUP('Données projet'!$B$10,Paramètres!$A$1:$I$89,3,0)*VLOOKUP('Données projet'!$B$10,Paramètres!$A$1:$I$89,5,0)</f>
        <v>2.6602720026858149E-14</v>
      </c>
      <c r="AK122" s="14">
        <f t="shared" si="89"/>
        <v>4.6624771586320878E-13</v>
      </c>
      <c r="AL122" s="22">
        <f t="shared" si="58"/>
        <v>8.583811758418665E-13</v>
      </c>
      <c r="AM122" s="62">
        <f t="shared" si="59"/>
        <v>281.90999129792999</v>
      </c>
      <c r="AN122" s="62">
        <f ca="1">AVERAGE(OFFSET($AM$3,0,0,'Données projet'!$E$10+1,1))-AVERAGE(OFFSET($H$3,0,0,'Données projet'!$E$10+1,1))</f>
        <v>215.50514301701057</v>
      </c>
      <c r="AO122" s="62">
        <f t="shared" si="90"/>
        <v>273.18950868898253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42.001521010742714</v>
      </c>
      <c r="AV122" s="23">
        <f>EXP(-LN(2)/25)*AV121+(1-EXP(-LN(2)/25))/(LN(2)/25)*Calculateur!AQ122*Calculateur!AS122*VLOOKUP('Données projet'!$B$10,Paramètres!$A$1:$I$89,3,0)*0.475*44/12</f>
        <v>0.6398942558104076</v>
      </c>
      <c r="AW122" s="23">
        <f>EXP(-LN(2)/2)*AW121+(1-EXP(-LN(2)/2))/(LN(2)/2)*AQ122*AT122*VLOOKUP('Données projet'!$B$10,Paramètres!$A$1:$I$89,3,0)*0.475*44/12</f>
        <v>3.8574375477809303E-8</v>
      </c>
      <c r="AX122" s="23">
        <f t="shared" si="60"/>
        <v>42.641415305127502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-1.1368683772161603E-13</v>
      </c>
      <c r="BE122" s="14">
        <f>BD122*VLOOKUP('Données projet'!$B$11,Paramètres!$A$1:$I$89,3,0)*VLOOKUP('Données projet'!$B$11,Paramètres!$A$1:$I$89,5,0)</f>
        <v>-1.1527845344971866E-13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396.06968288200386</v>
      </c>
      <c r="BJ122" s="62">
        <f t="shared" si="92"/>
        <v>273.35778700650792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99.395787020375238</v>
      </c>
      <c r="BQ122" s="23">
        <f>EXP(-LN(2)/25)*BQ121+(1-EXP(-LN(2)/25))/(LN(2)/25)*Calculateur!BL122*Calculateur!BN122*VLOOKUP('Données projet'!$B$11,Paramètres!$A$1:$I$89,3,0)*0.475*44/12</f>
        <v>28.477542518539593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127.87332953891483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394.69391436029986</v>
      </c>
      <c r="T123" s="62">
        <f t="shared" si="88"/>
        <v>311.37245656657353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110.66804653129461</v>
      </c>
      <c r="AA123" s="23">
        <f>EXP(-LN(2)/25)*AA122+(1-EXP(-LN(2)/25))/(LN(2)/25)*Calculateur!V123*Calculateur!X123*VLOOKUP('Données projet'!$B$9,Paramètres!$A$1:$I$89,3,0)*0.475*44/12</f>
        <v>0.73659198366423173</v>
      </c>
      <c r="AB123" s="23">
        <f>EXP(-LN(2)/2)*AB122+(1-EXP(-LN(2)/2))/(LN(2)/2)*V123*Y123*VLOOKUP('Données projet'!$B$9,Paramètres!$A$1:$I$89,3,0)*0.475*44/12</f>
        <v>1.1033611775706733E-4</v>
      </c>
      <c r="AC123" s="24">
        <f t="shared" si="57"/>
        <v>111.40474885107659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5.6843418860808015E-14</v>
      </c>
      <c r="AJ123" s="14">
        <f>AI123*VLOOKUP('Données projet'!$B$10,Paramètres!$A$1:$I$89,3,0)*VLOOKUP('Données projet'!$B$10,Paramètres!$A$1:$I$89,5,0)</f>
        <v>2.6602720026858149E-14</v>
      </c>
      <c r="AK123" s="14">
        <f t="shared" si="89"/>
        <v>4.6624771586320878E-13</v>
      </c>
      <c r="AL123" s="22">
        <f t="shared" si="58"/>
        <v>8.583811758418665E-13</v>
      </c>
      <c r="AM123" s="62">
        <f t="shared" si="59"/>
        <v>282.10816074347747</v>
      </c>
      <c r="AN123" s="62">
        <f ca="1">AVERAGE(OFFSET($AM$3,0,0,'Données projet'!$E$10+1,1))-AVERAGE(OFFSET($H$3,0,0,'Données projet'!$E$10+1,1))</f>
        <v>215.50514301701057</v>
      </c>
      <c r="AO123" s="62">
        <f t="shared" si="90"/>
        <v>273.18950868898253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41.177896802120259</v>
      </c>
      <c r="AV123" s="23">
        <f>EXP(-LN(2)/25)*AV122+(1-EXP(-LN(2)/25))/(LN(2)/25)*Calculateur!AQ123*Calculateur!AS123*VLOOKUP('Données projet'!$B$10,Paramètres!$A$1:$I$89,3,0)*0.475*44/12</f>
        <v>0.62239631373469562</v>
      </c>
      <c r="AW123" s="23">
        <f>EXP(-LN(2)/2)*AW122+(1-EXP(-LN(2)/2))/(LN(2)/2)*AQ123*AT123*VLOOKUP('Données projet'!$B$10,Paramètres!$A$1:$I$89,3,0)*0.475*44/12</f>
        <v>2.7276202480395028E-8</v>
      </c>
      <c r="AX123" s="23">
        <f t="shared" si="60"/>
        <v>41.800293143131157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-1.1368683772161603E-13</v>
      </c>
      <c r="BE123" s="14">
        <f>BD123*VLOOKUP('Données projet'!$B$11,Paramètres!$A$1:$I$89,3,0)*VLOOKUP('Données projet'!$B$11,Paramètres!$A$1:$I$89,5,0)</f>
        <v>-1.1527845344971866E-13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396.06968288200386</v>
      </c>
      <c r="BJ123" s="62">
        <f t="shared" si="92"/>
        <v>273.35778700650792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97.446696262349491</v>
      </c>
      <c r="BQ123" s="23">
        <f>EXP(-LN(2)/25)*BQ122+(1-EXP(-LN(2)/25))/(LN(2)/25)*Calculateur!BL123*Calculateur!BN123*VLOOKUP('Données projet'!$B$11,Paramètres!$A$1:$I$89,3,0)*0.475*44/12</f>
        <v>27.698822620801252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125.14551888315074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394.69391436029986</v>
      </c>
      <c r="T124" s="62">
        <f t="shared" si="88"/>
        <v>311.37245656657353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108.49791363965915</v>
      </c>
      <c r="AA124" s="23">
        <f>EXP(-LN(2)/25)*AA123+(1-EXP(-LN(2)/25))/(LN(2)/25)*Calculateur!V124*Calculateur!X124*VLOOKUP('Données projet'!$B$9,Paramètres!$A$1:$I$89,3,0)*0.475*44/12</f>
        <v>0.71644983713524435</v>
      </c>
      <c r="AB124" s="23">
        <f>EXP(-LN(2)/2)*AB123+(1-EXP(-LN(2)/2))/(LN(2)/2)*V124*Y124*VLOOKUP('Données projet'!$B$9,Paramètres!$A$1:$I$89,3,0)*0.475*44/12</f>
        <v>7.8019417075819749E-5</v>
      </c>
      <c r="AC124" s="24">
        <f t="shared" si="57"/>
        <v>109.21444149621146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5.6843418860808015E-14</v>
      </c>
      <c r="AJ124" s="14">
        <f>AI124*VLOOKUP('Données projet'!$B$10,Paramètres!$A$1:$I$89,3,0)*VLOOKUP('Données projet'!$B$10,Paramètres!$A$1:$I$89,5,0)</f>
        <v>2.6602720026858149E-14</v>
      </c>
      <c r="AK124" s="14">
        <f t="shared" si="89"/>
        <v>4.6624771586320878E-13</v>
      </c>
      <c r="AL124" s="22">
        <f t="shared" si="58"/>
        <v>8.583811758418665E-13</v>
      </c>
      <c r="AM124" s="62">
        <f t="shared" si="59"/>
        <v>282.30289239218524</v>
      </c>
      <c r="AN124" s="62">
        <f ca="1">AVERAGE(OFFSET($AM$3,0,0,'Données projet'!$E$10+1,1))-AVERAGE(OFFSET($H$3,0,0,'Données projet'!$E$10+1,1))</f>
        <v>215.50514301701057</v>
      </c>
      <c r="AO124" s="62">
        <f t="shared" si="90"/>
        <v>273.18950868898253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40.370423361867729</v>
      </c>
      <c r="AV124" s="23">
        <f>EXP(-LN(2)/25)*AV123+(1-EXP(-LN(2)/25))/(LN(2)/25)*Calculateur!AQ124*Calculateur!AS124*VLOOKUP('Données projet'!$B$10,Paramètres!$A$1:$I$89,3,0)*0.475*44/12</f>
        <v>0.60537685380522077</v>
      </c>
      <c r="AW124" s="23">
        <f>EXP(-LN(2)/2)*AW123+(1-EXP(-LN(2)/2))/(LN(2)/2)*AQ124*AT124*VLOOKUP('Données projet'!$B$10,Paramètres!$A$1:$I$89,3,0)*0.475*44/12</f>
        <v>1.9287187738904651E-8</v>
      </c>
      <c r="AX124" s="23">
        <f t="shared" si="60"/>
        <v>40.975800234960133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-1.1368683772161603E-13</v>
      </c>
      <c r="BE124" s="14">
        <f>BD124*VLOOKUP('Données projet'!$B$11,Paramètres!$A$1:$I$89,3,0)*VLOOKUP('Données projet'!$B$11,Paramètres!$A$1:$I$89,5,0)</f>
        <v>-1.1527845344971866E-13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396.06968288200386</v>
      </c>
      <c r="BJ124" s="62">
        <f t="shared" si="92"/>
        <v>273.35778700650792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95.535825985260658</v>
      </c>
      <c r="BQ124" s="23">
        <f>EXP(-LN(2)/25)*BQ123+(1-EXP(-LN(2)/25))/(LN(2)/25)*Calculateur!BL124*Calculateur!BN124*VLOOKUP('Données projet'!$B$11,Paramètres!$A$1:$I$89,3,0)*0.475*44/12</f>
        <v>26.941396859617665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122.47722284487833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394.69391436029986</v>
      </c>
      <c r="T125" s="62">
        <f t="shared" si="88"/>
        <v>311.37245656657353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106.3703357303783</v>
      </c>
      <c r="AA125" s="23">
        <f>EXP(-LN(2)/25)*AA124+(1-EXP(-LN(2)/25))/(LN(2)/25)*Calculateur!V125*Calculateur!X125*VLOOKUP('Données projet'!$B$9,Paramètres!$A$1:$I$89,3,0)*0.475*44/12</f>
        <v>0.69685847866232165</v>
      </c>
      <c r="AB125" s="23">
        <f>EXP(-LN(2)/2)*AB124+(1-EXP(-LN(2)/2))/(LN(2)/2)*V125*Y125*VLOOKUP('Données projet'!$B$9,Paramètres!$A$1:$I$89,3,0)*0.475*44/12</f>
        <v>5.5168058878533665E-5</v>
      </c>
      <c r="AC125" s="24">
        <f t="shared" si="57"/>
        <v>107.0672493770995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5.6843418860808015E-14</v>
      </c>
      <c r="AJ125" s="14">
        <f>AI125*VLOOKUP('Données projet'!$B$10,Paramètres!$A$1:$I$89,3,0)*VLOOKUP('Données projet'!$B$10,Paramètres!$A$1:$I$89,5,0)</f>
        <v>2.6602720026858149E-14</v>
      </c>
      <c r="AK125" s="14">
        <f t="shared" si="89"/>
        <v>4.6624771586320878E-13</v>
      </c>
      <c r="AL125" s="22">
        <f t="shared" si="58"/>
        <v>8.583811758418665E-13</v>
      </c>
      <c r="AM125" s="62">
        <f t="shared" si="59"/>
        <v>282.49424588214265</v>
      </c>
      <c r="AN125" s="62">
        <f ca="1">AVERAGE(OFFSET($AM$3,0,0,'Données projet'!$E$10+1,1))-AVERAGE(OFFSET($H$3,0,0,'Données projet'!$E$10+1,1))</f>
        <v>215.50514301701057</v>
      </c>
      <c r="AO125" s="62">
        <f t="shared" si="90"/>
        <v>273.18950868898253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39.57878398326838</v>
      </c>
      <c r="AV125" s="23">
        <f>EXP(-LN(2)/25)*AV124+(1-EXP(-LN(2)/25))/(LN(2)/25)*Calculateur!AQ125*Calculateur!AS125*VLOOKUP('Données projet'!$B$10,Paramètres!$A$1:$I$89,3,0)*0.475*44/12</f>
        <v>0.58882279190253184</v>
      </c>
      <c r="AW125" s="23">
        <f>EXP(-LN(2)/2)*AW124+(1-EXP(-LN(2)/2))/(LN(2)/2)*AQ125*AT125*VLOOKUP('Données projet'!$B$10,Paramètres!$A$1:$I$89,3,0)*0.475*44/12</f>
        <v>1.3638101240197514E-8</v>
      </c>
      <c r="AX125" s="23">
        <f t="shared" si="60"/>
        <v>40.16760678880901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-1.1368683772161603E-13</v>
      </c>
      <c r="BE125" s="14">
        <f>BD125*VLOOKUP('Données projet'!$B$11,Paramètres!$A$1:$I$89,3,0)*VLOOKUP('Données projet'!$B$11,Paramètres!$A$1:$I$89,5,0)</f>
        <v>-1.1527845344971866E-13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396.06968288200386</v>
      </c>
      <c r="BJ125" s="62">
        <f t="shared" si="92"/>
        <v>273.35778700650792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93.662426708789752</v>
      </c>
      <c r="BQ125" s="23">
        <f>EXP(-LN(2)/25)*BQ124+(1-EXP(-LN(2)/25))/(LN(2)/25)*Calculateur!BL125*Calculateur!BN125*VLOOKUP('Données projet'!$B$11,Paramètres!$A$1:$I$89,3,0)*0.475*44/12</f>
        <v>26.204682945704935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119.86710965449468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394.69391436029986</v>
      </c>
      <c r="T126" s="62">
        <f t="shared" si="88"/>
        <v>311.37245656657353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104.28447832620407</v>
      </c>
      <c r="AA126" s="23">
        <f>EXP(-LN(2)/25)*AA125+(1-EXP(-LN(2)/25))/(LN(2)/25)*Calculateur!V126*Calculateur!X126*VLOOKUP('Données projet'!$B$9,Paramètres!$A$1:$I$89,3,0)*0.475*44/12</f>
        <v>0.67780284691710579</v>
      </c>
      <c r="AB126" s="23">
        <f>EXP(-LN(2)/2)*AB125+(1-EXP(-LN(2)/2))/(LN(2)/2)*V126*Y126*VLOOKUP('Données projet'!$B$9,Paramètres!$A$1:$I$89,3,0)*0.475*44/12</f>
        <v>3.9009708537909875E-5</v>
      </c>
      <c r="AC126" s="24">
        <f t="shared" si="57"/>
        <v>104.96232018282971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5.6843418860808015E-14</v>
      </c>
      <c r="AJ126" s="14">
        <f>AI126*VLOOKUP('Données projet'!$B$10,Paramètres!$A$1:$I$89,3,0)*VLOOKUP('Données projet'!$B$10,Paramètres!$A$1:$I$89,5,0)</f>
        <v>2.6602720026858149E-14</v>
      </c>
      <c r="AK126" s="14">
        <f t="shared" si="89"/>
        <v>4.6624771586320878E-13</v>
      </c>
      <c r="AL126" s="22">
        <f t="shared" si="58"/>
        <v>8.583811758418665E-13</v>
      </c>
      <c r="AM126" s="62">
        <f t="shared" si="59"/>
        <v>282.68227981685152</v>
      </c>
      <c r="AN126" s="62">
        <f ca="1">AVERAGE(OFFSET($AM$3,0,0,'Données projet'!$E$10+1,1))-AVERAGE(OFFSET($H$3,0,0,'Données projet'!$E$10+1,1))</f>
        <v>215.50514301701057</v>
      </c>
      <c r="AO126" s="62">
        <f t="shared" si="90"/>
        <v>273.18950868898253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38.802668170031026</v>
      </c>
      <c r="AV126" s="23">
        <f>EXP(-LN(2)/25)*AV125+(1-EXP(-LN(2)/25))/(LN(2)/25)*Calculateur!AQ126*Calculateur!AS126*VLOOKUP('Données projet'!$B$10,Paramètres!$A$1:$I$89,3,0)*0.475*44/12</f>
        <v>0.57272140169311225</v>
      </c>
      <c r="AW126" s="23">
        <f>EXP(-LN(2)/2)*AW125+(1-EXP(-LN(2)/2))/(LN(2)/2)*AQ126*AT126*VLOOKUP('Données projet'!$B$10,Paramètres!$A$1:$I$89,3,0)*0.475*44/12</f>
        <v>9.6435938694523256E-9</v>
      </c>
      <c r="AX126" s="23">
        <f t="shared" si="60"/>
        <v>39.375389581367735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-1.1368683772161603E-13</v>
      </c>
      <c r="BE126" s="14">
        <f>BD126*VLOOKUP('Données projet'!$B$11,Paramètres!$A$1:$I$89,3,0)*VLOOKUP('Données projet'!$B$11,Paramètres!$A$1:$I$89,5,0)</f>
        <v>-1.1527845344971866E-13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396.06968288200386</v>
      </c>
      <c r="BJ126" s="62">
        <f t="shared" si="92"/>
        <v>273.35778700650792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91.825763649469707</v>
      </c>
      <c r="BQ126" s="23">
        <f>EXP(-LN(2)/25)*BQ125+(1-EXP(-LN(2)/25))/(LN(2)/25)*Calculateur!BL126*Calculateur!BN126*VLOOKUP('Données projet'!$B$11,Paramètres!$A$1:$I$89,3,0)*0.475*44/12</f>
        <v>25.488114512510251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117.31387816197996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394.69391436029986</v>
      </c>
      <c r="T127" s="62">
        <f t="shared" si="88"/>
        <v>311.37245656657353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102.23952331347829</v>
      </c>
      <c r="AA127" s="23">
        <f>EXP(-LN(2)/25)*AA126+(1-EXP(-LN(2)/25))/(LN(2)/25)*Calculateur!V127*Calculateur!X127*VLOOKUP('Données projet'!$B$9,Paramètres!$A$1:$I$89,3,0)*0.475*44/12</f>
        <v>0.65926829242405494</v>
      </c>
      <c r="AB127" s="23">
        <f>EXP(-LN(2)/2)*AB126+(1-EXP(-LN(2)/2))/(LN(2)/2)*V127*Y127*VLOOKUP('Données projet'!$B$9,Paramètres!$A$1:$I$89,3,0)*0.475*44/12</f>
        <v>2.7584029439266833E-5</v>
      </c>
      <c r="AC127" s="24">
        <f t="shared" si="57"/>
        <v>102.89881918993179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5.6843418860808015E-14</v>
      </c>
      <c r="AJ127" s="14">
        <f>AI127*VLOOKUP('Données projet'!$B$10,Paramètres!$A$1:$I$89,3,0)*VLOOKUP('Données projet'!$B$10,Paramètres!$A$1:$I$89,5,0)</f>
        <v>2.6602720026858149E-14</v>
      </c>
      <c r="AK127" s="14">
        <f t="shared" si="89"/>
        <v>4.6624771586320878E-13</v>
      </c>
      <c r="AL127" s="22">
        <f t="shared" si="58"/>
        <v>8.583811758418665E-13</v>
      </c>
      <c r="AM127" s="62">
        <f t="shared" si="59"/>
        <v>282.86705178317419</v>
      </c>
      <c r="AN127" s="62">
        <f ca="1">AVERAGE(OFFSET($AM$3,0,0,'Données projet'!$E$10+1,1))-AVERAGE(OFFSET($H$3,0,0,'Données projet'!$E$10+1,1))</f>
        <v>215.50514301701057</v>
      </c>
      <c r="AO127" s="62">
        <f t="shared" si="90"/>
        <v>273.18950868898253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38.041771514507353</v>
      </c>
      <c r="AV127" s="23">
        <f>EXP(-LN(2)/25)*AV126+(1-EXP(-LN(2)/25))/(LN(2)/25)*Calculateur!AQ127*Calculateur!AS127*VLOOKUP('Données projet'!$B$10,Paramètres!$A$1:$I$89,3,0)*0.475*44/12</f>
        <v>0.55706030484570457</v>
      </c>
      <c r="AW127" s="23">
        <f>EXP(-LN(2)/2)*AW126+(1-EXP(-LN(2)/2))/(LN(2)/2)*AQ127*AT127*VLOOKUP('Données projet'!$B$10,Paramètres!$A$1:$I$89,3,0)*0.475*44/12</f>
        <v>6.8190506200987569E-9</v>
      </c>
      <c r="AX127" s="23">
        <f t="shared" si="60"/>
        <v>38.598831826172109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-1.1368683772161603E-13</v>
      </c>
      <c r="BE127" s="14">
        <f>BD127*VLOOKUP('Données projet'!$B$11,Paramètres!$A$1:$I$89,3,0)*VLOOKUP('Données projet'!$B$11,Paramètres!$A$1:$I$89,5,0)</f>
        <v>-1.1527845344971866E-13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396.06968288200386</v>
      </c>
      <c r="BJ127" s="62">
        <f t="shared" si="92"/>
        <v>273.35778700650792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90.025116432489085</v>
      </c>
      <c r="BQ127" s="23">
        <f>EXP(-LN(2)/25)*BQ126+(1-EXP(-LN(2)/25))/(LN(2)/25)*Calculateur!BL127*Calculateur!BN127*VLOOKUP('Données projet'!$B$11,Paramètres!$A$1:$I$89,3,0)*0.475*44/12</f>
        <v>24.79114068080397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114.81625711329306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394.69391436029986</v>
      </c>
      <c r="T128" s="62">
        <f t="shared" si="88"/>
        <v>311.37245656657353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100.23466862125267</v>
      </c>
      <c r="AA128" s="23">
        <f>EXP(-LN(2)/25)*AA127+(1-EXP(-LN(2)/25))/(LN(2)/25)*Calculateur!V128*Calculateur!X128*VLOOKUP('Données projet'!$B$9,Paramètres!$A$1:$I$89,3,0)*0.475*44/12</f>
        <v>0.64124056629830639</v>
      </c>
      <c r="AB128" s="23">
        <f>EXP(-LN(2)/2)*AB127+(1-EXP(-LN(2)/2))/(LN(2)/2)*V128*Y128*VLOOKUP('Données projet'!$B$9,Paramètres!$A$1:$I$89,3,0)*0.475*44/12</f>
        <v>1.9504854268954937E-5</v>
      </c>
      <c r="AC128" s="24">
        <f t="shared" si="57"/>
        <v>100.87592869240524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5.6843418860808015E-14</v>
      </c>
      <c r="AJ128" s="14">
        <f>AI128*VLOOKUP('Données projet'!$B$10,Paramètres!$A$1:$I$89,3,0)*VLOOKUP('Données projet'!$B$10,Paramètres!$A$1:$I$89,5,0)</f>
        <v>2.6602720026858149E-14</v>
      </c>
      <c r="AK128" s="14">
        <f t="shared" si="89"/>
        <v>4.6624771586320878E-13</v>
      </c>
      <c r="AL128" s="22">
        <f t="shared" si="58"/>
        <v>8.583811758418665E-13</v>
      </c>
      <c r="AM128" s="62">
        <f t="shared" si="59"/>
        <v>283.04861836896936</v>
      </c>
      <c r="AN128" s="62">
        <f ca="1">AVERAGE(OFFSET($AM$3,0,0,'Données projet'!$E$10+1,1))-AVERAGE(OFFSET($H$3,0,0,'Données projet'!$E$10+1,1))</f>
        <v>215.50514301701057</v>
      </c>
      <c r="AO128" s="62">
        <f t="shared" si="90"/>
        <v>273.18950868898253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37.295795578297366</v>
      </c>
      <c r="AV128" s="23">
        <f>EXP(-LN(2)/25)*AV127+(1-EXP(-LN(2)/25))/(LN(2)/25)*Calculateur!AQ128*Calculateur!AS128*VLOOKUP('Données projet'!$B$10,Paramètres!$A$1:$I$89,3,0)*0.475*44/12</f>
        <v>0.54182746151517047</v>
      </c>
      <c r="AW128" s="23">
        <f>EXP(-LN(2)/2)*AW127+(1-EXP(-LN(2)/2))/(LN(2)/2)*AQ128*AT128*VLOOKUP('Données projet'!$B$10,Paramètres!$A$1:$I$89,3,0)*0.475*44/12</f>
        <v>4.8217969347261628E-9</v>
      </c>
      <c r="AX128" s="23">
        <f t="shared" si="60"/>
        <v>37.837623044634334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-1.1368683772161603E-13</v>
      </c>
      <c r="BE128" s="14">
        <f>BD128*VLOOKUP('Données projet'!$B$11,Paramètres!$A$1:$I$89,3,0)*VLOOKUP('Données projet'!$B$11,Paramètres!$A$1:$I$89,5,0)</f>
        <v>-1.1527845344971866E-13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396.06968288200386</v>
      </c>
      <c r="BJ128" s="62">
        <f t="shared" si="92"/>
        <v>273.35778700650792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88.259778809147093</v>
      </c>
      <c r="BQ128" s="23">
        <f>EXP(-LN(2)/25)*BQ127+(1-EXP(-LN(2)/25))/(LN(2)/25)*Calculateur!BL128*Calculateur!BN128*VLOOKUP('Données projet'!$B$11,Paramètres!$A$1:$I$89,3,0)*0.475*44/12</f>
        <v>24.113225635177958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112.37300444432505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394.69391436029986</v>
      </c>
      <c r="T129" s="62">
        <f t="shared" si="88"/>
        <v>311.37245656657353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98.269127906700973</v>
      </c>
      <c r="AA129" s="23">
        <f>EXP(-LN(2)/25)*AA128+(1-EXP(-LN(2)/25))/(LN(2)/25)*Calculateur!V129*Calculateur!X129*VLOOKUP('Données projet'!$B$9,Paramètres!$A$1:$I$89,3,0)*0.475*44/12</f>
        <v>0.62370580929150343</v>
      </c>
      <c r="AB129" s="23">
        <f>EXP(-LN(2)/2)*AB128+(1-EXP(-LN(2)/2))/(LN(2)/2)*V129*Y129*VLOOKUP('Données projet'!$B$9,Paramètres!$A$1:$I$89,3,0)*0.475*44/12</f>
        <v>1.3792014719633416E-5</v>
      </c>
      <c r="AC129" s="24">
        <f t="shared" si="57"/>
        <v>98.892847508007208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5.6843418860808015E-14</v>
      </c>
      <c r="AJ129" s="14">
        <f>AI129*VLOOKUP('Données projet'!$B$10,Paramètres!$A$1:$I$89,3,0)*VLOOKUP('Données projet'!$B$10,Paramètres!$A$1:$I$89,5,0)</f>
        <v>2.6602720026858149E-14</v>
      </c>
      <c r="AK129" s="14">
        <f t="shared" si="89"/>
        <v>4.6624771586320878E-13</v>
      </c>
      <c r="AL129" s="22">
        <f t="shared" si="58"/>
        <v>8.583811758418665E-13</v>
      </c>
      <c r="AM129" s="62">
        <f t="shared" si="59"/>
        <v>283.22703518042306</v>
      </c>
      <c r="AN129" s="62">
        <f ca="1">AVERAGE(OFFSET($AM$3,0,0,'Données projet'!$E$10+1,1))-AVERAGE(OFFSET($H$3,0,0,'Données projet'!$E$10+1,1))</f>
        <v>215.50514301701057</v>
      </c>
      <c r="AO129" s="62">
        <f t="shared" si="90"/>
        <v>273.18950868898253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36.564447775196058</v>
      </c>
      <c r="AV129" s="23">
        <f>EXP(-LN(2)/25)*AV128+(1-EXP(-LN(2)/25))/(LN(2)/25)*Calculateur!AQ129*Calculateur!AS129*VLOOKUP('Données projet'!$B$10,Paramètres!$A$1:$I$89,3,0)*0.475*44/12</f>
        <v>0.52701116108657031</v>
      </c>
      <c r="AW129" s="23">
        <f>EXP(-LN(2)/2)*AW128+(1-EXP(-LN(2)/2))/(LN(2)/2)*AQ129*AT129*VLOOKUP('Données projet'!$B$10,Paramètres!$A$1:$I$89,3,0)*0.475*44/12</f>
        <v>3.4095253100493784E-9</v>
      </c>
      <c r="AX129" s="23">
        <f t="shared" si="60"/>
        <v>37.091458939692153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-1.1368683772161603E-13</v>
      </c>
      <c r="BE129" s="14">
        <f>BD129*VLOOKUP('Données projet'!$B$11,Paramètres!$A$1:$I$89,3,0)*VLOOKUP('Données projet'!$B$11,Paramètres!$A$1:$I$89,5,0)</f>
        <v>-1.1527845344971866E-13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396.06968288200386</v>
      </c>
      <c r="BJ129" s="62">
        <f t="shared" si="92"/>
        <v>273.35778700650792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86.529058379849204</v>
      </c>
      <c r="BQ129" s="23">
        <f>EXP(-LN(2)/25)*BQ128+(1-EXP(-LN(2)/25))/(LN(2)/25)*Calculateur!BL129*Calculateur!BN129*VLOOKUP('Données projet'!$B$11,Paramètres!$A$1:$I$89,3,0)*0.475*44/12</f>
        <v>23.453848212124591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109.9829065919738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394.69391436029986</v>
      </c>
      <c r="T130" s="62">
        <f t="shared" si="88"/>
        <v>311.37245656657353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96.342130246700179</v>
      </c>
      <c r="AA130" s="23">
        <f>EXP(-LN(2)/25)*AA129+(1-EXP(-LN(2)/25))/(LN(2)/25)*Calculateur!V130*Calculateur!X130*VLOOKUP('Données projet'!$B$9,Paramètres!$A$1:$I$89,3,0)*0.475*44/12</f>
        <v>0.60665054113716421</v>
      </c>
      <c r="AB130" s="23">
        <f>EXP(-LN(2)/2)*AB129+(1-EXP(-LN(2)/2))/(LN(2)/2)*V130*Y130*VLOOKUP('Données projet'!$B$9,Paramètres!$A$1:$I$89,3,0)*0.475*44/12</f>
        <v>9.7524271344774686E-6</v>
      </c>
      <c r="AC130" s="24">
        <f t="shared" si="57"/>
        <v>96.948790540264483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5.6843418860808015E-14</v>
      </c>
      <c r="AJ130" s="14">
        <f>AI130*VLOOKUP('Données projet'!$B$10,Paramètres!$A$1:$I$89,3,0)*VLOOKUP('Données projet'!$B$10,Paramètres!$A$1:$I$89,5,0)</f>
        <v>2.6602720026858149E-14</v>
      </c>
      <c r="AK130" s="14">
        <f t="shared" si="89"/>
        <v>4.6624771586320878E-13</v>
      </c>
      <c r="AL130" s="22">
        <f t="shared" si="58"/>
        <v>8.583811758418665E-13</v>
      </c>
      <c r="AM130" s="62">
        <f t="shared" si="59"/>
        <v>283.40235685907828</v>
      </c>
      <c r="AN130" s="62">
        <f ca="1">AVERAGE(OFFSET($AM$3,0,0,'Données projet'!$E$10+1,1))-AVERAGE(OFFSET($H$3,0,0,'Données projet'!$E$10+1,1))</f>
        <v>215.50514301701057</v>
      </c>
      <c r="AO130" s="62">
        <f t="shared" si="90"/>
        <v>273.18950868898253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35.847441256435452</v>
      </c>
      <c r="AV130" s="23">
        <f>EXP(-LN(2)/25)*AV129+(1-EXP(-LN(2)/25))/(LN(2)/25)*Calculateur!AQ130*Calculateur!AS130*VLOOKUP('Données projet'!$B$10,Paramètres!$A$1:$I$89,3,0)*0.475*44/12</f>
        <v>0.5126000131723456</v>
      </c>
      <c r="AW130" s="23">
        <f>EXP(-LN(2)/2)*AW129+(1-EXP(-LN(2)/2))/(LN(2)/2)*AQ130*AT130*VLOOKUP('Données projet'!$B$10,Paramètres!$A$1:$I$89,3,0)*0.475*44/12</f>
        <v>2.4108984673630814E-9</v>
      </c>
      <c r="AX130" s="23">
        <f t="shared" si="60"/>
        <v>36.360041272018698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-1.1368683772161603E-13</v>
      </c>
      <c r="BE130" s="14">
        <f>BD130*VLOOKUP('Données projet'!$B$11,Paramètres!$A$1:$I$89,3,0)*VLOOKUP('Données projet'!$B$11,Paramètres!$A$1:$I$89,5,0)</f>
        <v>-1.1527845344971866E-13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396.06968288200386</v>
      </c>
      <c r="BJ130" s="62">
        <f t="shared" si="92"/>
        <v>273.35778700650792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84.832276322534625</v>
      </c>
      <c r="BQ130" s="23">
        <f>EXP(-LN(2)/25)*BQ129+(1-EXP(-LN(2)/25))/(LN(2)/25)*Calculateur!BL130*Calculateur!BN130*VLOOKUP('Données projet'!$B$11,Paramètres!$A$1:$I$89,3,0)*0.475*44/12</f>
        <v>22.812501499379771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107.6447778219144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394.69391436029986</v>
      </c>
      <c r="T131" s="62">
        <f t="shared" si="88"/>
        <v>311.37245656657353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94.452919835459483</v>
      </c>
      <c r="AA131" s="23">
        <f>EXP(-LN(2)/25)*AA130+(1-EXP(-LN(2)/25))/(LN(2)/25)*Calculateur!V131*Calculateur!X131*VLOOKUP('Données projet'!$B$9,Paramètres!$A$1:$I$89,3,0)*0.475*44/12</f>
        <v>0.59006165018740298</v>
      </c>
      <c r="AB131" s="23">
        <f>EXP(-LN(2)/2)*AB130+(1-EXP(-LN(2)/2))/(LN(2)/2)*V131*Y131*VLOOKUP('Données projet'!$B$9,Paramètres!$A$1:$I$89,3,0)*0.475*44/12</f>
        <v>6.8960073598167081E-6</v>
      </c>
      <c r="AC131" s="24">
        <f t="shared" si="57"/>
        <v>95.042988381654254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5.6843418860808015E-14</v>
      </c>
      <c r="AJ131" s="14">
        <f>AI131*VLOOKUP('Données projet'!$B$10,Paramètres!$A$1:$I$89,3,0)*VLOOKUP('Données projet'!$B$10,Paramètres!$A$1:$I$89,5,0)</f>
        <v>2.6602720026858149E-14</v>
      </c>
      <c r="AK131" s="14">
        <f t="shared" si="89"/>
        <v>4.6624771586320878E-13</v>
      </c>
      <c r="AL131" s="22">
        <f t="shared" si="58"/>
        <v>8.583811758418665E-13</v>
      </c>
      <c r="AM131" s="62">
        <f t="shared" si="59"/>
        <v>283.57463709856938</v>
      </c>
      <c r="AN131" s="62">
        <f ca="1">AVERAGE(OFFSET($AM$3,0,0,'Données projet'!$E$10+1,1))-AVERAGE(OFFSET($H$3,0,0,'Données projet'!$E$10+1,1))</f>
        <v>215.50514301701057</v>
      </c>
      <c r="AO131" s="62">
        <f t="shared" si="90"/>
        <v>273.18950868898253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35.14449479817695</v>
      </c>
      <c r="AV131" s="23">
        <f>EXP(-LN(2)/25)*AV130+(1-EXP(-LN(2)/25))/(LN(2)/25)*Calculateur!AQ131*Calculateur!AS131*VLOOKUP('Données projet'!$B$10,Paramètres!$A$1:$I$89,3,0)*0.475*44/12</f>
        <v>0.49858293885568467</v>
      </c>
      <c r="AW131" s="23">
        <f>EXP(-LN(2)/2)*AW130+(1-EXP(-LN(2)/2))/(LN(2)/2)*AQ131*AT131*VLOOKUP('Données projet'!$B$10,Paramètres!$A$1:$I$89,3,0)*0.475*44/12</f>
        <v>1.7047626550246892E-9</v>
      </c>
      <c r="AX131" s="23">
        <f t="shared" si="60"/>
        <v>35.643077738737396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-1.1368683772161603E-13</v>
      </c>
      <c r="BE131" s="14">
        <f>BD131*VLOOKUP('Données projet'!$B$11,Paramètres!$A$1:$I$89,3,0)*VLOOKUP('Données projet'!$B$11,Paramètres!$A$1:$I$89,5,0)</f>
        <v>-1.1527845344971866E-13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396.06968288200386</v>
      </c>
      <c r="BJ131" s="62">
        <f t="shared" si="92"/>
        <v>273.35778700650792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83.168767126429117</v>
      </c>
      <c r="BQ131" s="23">
        <f>EXP(-LN(2)/25)*BQ130+(1-EXP(-LN(2)/25))/(LN(2)/25)*Calculateur!BL131*Calculateur!BN131*VLOOKUP('Données projet'!$B$11,Paramètres!$A$1:$I$89,3,0)*0.475*44/12</f>
        <v>22.188692446221914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105.35745957265104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394.69391436029986</v>
      </c>
      <c r="T132" s="62">
        <f t="shared" si="88"/>
        <v>311.37245656657353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92.60075568807865</v>
      </c>
      <c r="AA132" s="23">
        <f>EXP(-LN(2)/25)*AA131+(1-EXP(-LN(2)/25))/(LN(2)/25)*Calculateur!V132*Calculateur!X132*VLOOKUP('Données projet'!$B$9,Paramètres!$A$1:$I$89,3,0)*0.475*44/12</f>
        <v>0.57392638333303481</v>
      </c>
      <c r="AB132" s="23">
        <f>EXP(-LN(2)/2)*AB131+(1-EXP(-LN(2)/2))/(LN(2)/2)*V132*Y132*VLOOKUP('Données projet'!$B$9,Paramètres!$A$1:$I$89,3,0)*0.475*44/12</f>
        <v>4.8762135672387343E-6</v>
      </c>
      <c r="AC132" s="24">
        <f t="shared" ref="AC132:AC153" si="111">SUM(Z132:AB132)</f>
        <v>93.174686947625247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5.6843418860808015E-14</v>
      </c>
      <c r="AJ132" s="14">
        <f>AI132*VLOOKUP('Données projet'!$B$10,Paramètres!$A$1:$I$89,3,0)*VLOOKUP('Données projet'!$B$10,Paramètres!$A$1:$I$89,5,0)</f>
        <v>2.6602720026858149E-14</v>
      </c>
      <c r="AK132" s="14">
        <f t="shared" si="89"/>
        <v>4.6624771586320878E-13</v>
      </c>
      <c r="AL132" s="22">
        <f t="shared" ref="AL132:AL153" si="112">(AJ132+AK132)*0.475*44/12</f>
        <v>8.583811758418665E-13</v>
      </c>
      <c r="AM132" s="62">
        <f t="shared" ref="AM132:AM195" si="113">AL132+(AD132+AE132)*44/12</f>
        <v>283.74392866106621</v>
      </c>
      <c r="AN132" s="62">
        <f ca="1">AVERAGE(OFFSET($AM$3,0,0,'Données projet'!$E$10+1,1))-AVERAGE(OFFSET($H$3,0,0,'Données projet'!$E$10+1,1))</f>
        <v>215.50514301701057</v>
      </c>
      <c r="AO132" s="62">
        <f t="shared" si="90"/>
        <v>273.18950868898253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34.455332691209897</v>
      </c>
      <c r="AV132" s="23">
        <f>EXP(-LN(2)/25)*AV131+(1-EXP(-LN(2)/25))/(LN(2)/25)*Calculateur!AQ132*Calculateur!AS132*VLOOKUP('Données projet'!$B$10,Paramètres!$A$1:$I$89,3,0)*0.475*44/12</f>
        <v>0.48494916217333872</v>
      </c>
      <c r="AW132" s="23">
        <f>EXP(-LN(2)/2)*AW131+(1-EXP(-LN(2)/2))/(LN(2)/2)*AQ132*AT132*VLOOKUP('Données projet'!$B$10,Paramètres!$A$1:$I$89,3,0)*0.475*44/12</f>
        <v>1.2054492336815407E-9</v>
      </c>
      <c r="AX132" s="23">
        <f t="shared" ref="AX132:AX153" si="114">SUM(AU132:AW132)</f>
        <v>34.940281854588683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-1.1368683772161603E-13</v>
      </c>
      <c r="BE132" s="14">
        <f>BD132*VLOOKUP('Données projet'!$B$11,Paramètres!$A$1:$I$89,3,0)*VLOOKUP('Données projet'!$B$11,Paramètres!$A$1:$I$89,5,0)</f>
        <v>-1.1527845344971866E-13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396.06968288200386</v>
      </c>
      <c r="BJ132" s="62">
        <f t="shared" si="92"/>
        <v>273.35778700650792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81.537878331018817</v>
      </c>
      <c r="BQ132" s="23">
        <f>EXP(-LN(2)/25)*BQ131+(1-EXP(-LN(2)/25))/(LN(2)/25)*Calculateur!BL132*Calculateur!BN132*VLOOKUP('Données projet'!$B$11,Paramètres!$A$1:$I$89,3,0)*0.475*44/12</f>
        <v>21.581941484427354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103.11981981544616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394.69391436029986</v>
      </c>
      <c r="T133" s="62">
        <f t="shared" ref="T133:T196" si="142">$T$3</f>
        <v>311.37245656657353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90.784911349919369</v>
      </c>
      <c r="AA133" s="23">
        <f>EXP(-LN(2)/25)*AA132+(1-EXP(-LN(2)/25))/(LN(2)/25)*Calculateur!V133*Calculateur!X133*VLOOKUP('Données projet'!$B$9,Paramètres!$A$1:$I$89,3,0)*0.475*44/12</f>
        <v>0.55823233619931623</v>
      </c>
      <c r="AB133" s="23">
        <f>EXP(-LN(2)/2)*AB132+(1-EXP(-LN(2)/2))/(LN(2)/2)*V133*Y133*VLOOKUP('Données projet'!$B$9,Paramètres!$A$1:$I$89,3,0)*0.475*44/12</f>
        <v>3.4480036799083541E-6</v>
      </c>
      <c r="AC133" s="24">
        <f t="shared" si="111"/>
        <v>91.343147134122361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5.6843418860808015E-14</v>
      </c>
      <c r="AJ133" s="14">
        <f>AI133*VLOOKUP('Données projet'!$B$10,Paramètres!$A$1:$I$89,3,0)*VLOOKUP('Données projet'!$B$10,Paramètres!$A$1:$I$89,5,0)</f>
        <v>2.6602720026858149E-14</v>
      </c>
      <c r="AK133" s="14">
        <f t="shared" ref="AK133:AK153" si="143">EXP(-1.0587+0.8836*LN(AJ133)+0.284)</f>
        <v>4.6624771586320878E-13</v>
      </c>
      <c r="AL133" s="22">
        <f t="shared" si="112"/>
        <v>8.583811758418665E-13</v>
      </c>
      <c r="AM133" s="62">
        <f t="shared" si="113"/>
        <v>283.91028339343296</v>
      </c>
      <c r="AN133" s="62">
        <f ca="1">AVERAGE(OFFSET($AM$3,0,0,'Données projet'!$E$10+1,1))-AVERAGE(OFFSET($H$3,0,0,'Données projet'!$E$10+1,1))</f>
        <v>215.50514301701057</v>
      </c>
      <c r="AO133" s="62">
        <f t="shared" ref="AO133:AO196" si="144">$AO$3</f>
        <v>273.18950868898253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33.779684632813087</v>
      </c>
      <c r="AV133" s="23">
        <f>EXP(-LN(2)/25)*AV132+(1-EXP(-LN(2)/25))/(LN(2)/25)*Calculateur!AQ133*Calculateur!AS133*VLOOKUP('Données projet'!$B$10,Paramètres!$A$1:$I$89,3,0)*0.475*44/12</f>
        <v>0.47168820183134069</v>
      </c>
      <c r="AW133" s="23">
        <f>EXP(-LN(2)/2)*AW132+(1-EXP(-LN(2)/2))/(LN(2)/2)*AQ133*AT133*VLOOKUP('Données projet'!$B$10,Paramètres!$A$1:$I$89,3,0)*0.475*44/12</f>
        <v>8.5238132751234461E-10</v>
      </c>
      <c r="AX133" s="23">
        <f t="shared" si="114"/>
        <v>34.251372835496809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-1.1368683772161603E-13</v>
      </c>
      <c r="BE133" s="14">
        <f>BD133*VLOOKUP('Données projet'!$B$11,Paramètres!$A$1:$I$89,3,0)*VLOOKUP('Données projet'!$B$11,Paramètres!$A$1:$I$89,5,0)</f>
        <v>-1.1527845344971866E-13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396.06968288200386</v>
      </c>
      <c r="BJ133" s="62">
        <f t="shared" ref="BJ133:BJ196" si="146">$BJ$3</f>
        <v>273.35778700650792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79.938970270142576</v>
      </c>
      <c r="BQ133" s="23">
        <f>EXP(-LN(2)/25)*BQ132+(1-EXP(-LN(2)/25))/(LN(2)/25)*Calculateur!BL133*Calculateur!BN133*VLOOKUP('Données projet'!$B$11,Paramètres!$A$1:$I$89,3,0)*0.475*44/12</f>
        <v>20.991782159590713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100.93075242973329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394.69391436029986</v>
      </c>
      <c r="T134" s="62">
        <f t="shared" si="142"/>
        <v>311.37245656657353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89.004674611675711</v>
      </c>
      <c r="AA134" s="23">
        <f>EXP(-LN(2)/25)*AA133+(1-EXP(-LN(2)/25))/(LN(2)/25)*Calculateur!V134*Calculateur!X134*VLOOKUP('Données projet'!$B$9,Paramètres!$A$1:$I$89,3,0)*0.475*44/12</f>
        <v>0.54296744360978322</v>
      </c>
      <c r="AB134" s="23">
        <f>EXP(-LN(2)/2)*AB133+(1-EXP(-LN(2)/2))/(LN(2)/2)*V134*Y134*VLOOKUP('Données projet'!$B$9,Paramètres!$A$1:$I$89,3,0)*0.475*44/12</f>
        <v>2.4381067836193672E-6</v>
      </c>
      <c r="AC134" s="24">
        <f t="shared" si="111"/>
        <v>89.547644493392283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5.6843418860808015E-14</v>
      </c>
      <c r="AJ134" s="14">
        <f>AI134*VLOOKUP('Données projet'!$B$10,Paramètres!$A$1:$I$89,3,0)*VLOOKUP('Données projet'!$B$10,Paramètres!$A$1:$I$89,5,0)</f>
        <v>2.6602720026858149E-14</v>
      </c>
      <c r="AK134" s="14">
        <f t="shared" si="143"/>
        <v>4.6624771586320878E-13</v>
      </c>
      <c r="AL134" s="22">
        <f t="shared" si="112"/>
        <v>8.583811758418665E-13</v>
      </c>
      <c r="AM134" s="62">
        <f t="shared" si="113"/>
        <v>284.07375224310658</v>
      </c>
      <c r="AN134" s="62">
        <f ca="1">AVERAGE(OFFSET($AM$3,0,0,'Données projet'!$E$10+1,1))-AVERAGE(OFFSET($H$3,0,0,'Données projet'!$E$10+1,1))</f>
        <v>215.50514301701057</v>
      </c>
      <c r="AO134" s="62">
        <f t="shared" si="144"/>
        <v>273.18950868898253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33.117285620736816</v>
      </c>
      <c r="AV134" s="23">
        <f>EXP(-LN(2)/25)*AV133+(1-EXP(-LN(2)/25))/(LN(2)/25)*Calculateur!AQ134*Calculateur!AS134*VLOOKUP('Données projet'!$B$10,Paramètres!$A$1:$I$89,3,0)*0.475*44/12</f>
        <v>0.45878986314725823</v>
      </c>
      <c r="AW134" s="23">
        <f>EXP(-LN(2)/2)*AW133+(1-EXP(-LN(2)/2))/(LN(2)/2)*AQ134*AT134*VLOOKUP('Données projet'!$B$10,Paramètres!$A$1:$I$89,3,0)*0.475*44/12</f>
        <v>6.0272461684077035E-10</v>
      </c>
      <c r="AX134" s="23">
        <f t="shared" si="114"/>
        <v>33.5760754844868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-1.1368683772161603E-13</v>
      </c>
      <c r="BE134" s="14">
        <f>BD134*VLOOKUP('Données projet'!$B$11,Paramètres!$A$1:$I$89,3,0)*VLOOKUP('Données projet'!$B$11,Paramètres!$A$1:$I$89,5,0)</f>
        <v>-1.1527845344971866E-13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396.06968288200386</v>
      </c>
      <c r="BJ134" s="62">
        <f t="shared" si="146"/>
        <v>273.35778700650792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78.371415821102502</v>
      </c>
      <c r="BQ134" s="23">
        <f>EXP(-LN(2)/25)*BQ133+(1-EXP(-LN(2)/25))/(LN(2)/25)*Calculateur!BL134*Calculateur!BN134*VLOOKUP('Données projet'!$B$11,Paramètres!$A$1:$I$89,3,0)*0.475*44/12</f>
        <v>20.417760772526858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98.789176593629364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394.69391436029986</v>
      </c>
      <c r="T135" s="62">
        <f t="shared" si="142"/>
        <v>311.37245656657353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87.259347230031821</v>
      </c>
      <c r="AA135" s="23">
        <f>EXP(-LN(2)/25)*AA134+(1-EXP(-LN(2)/25))/(LN(2)/25)*Calculateur!V135*Calculateur!X135*VLOOKUP('Données projet'!$B$9,Paramètres!$A$1:$I$89,3,0)*0.475*44/12</f>
        <v>0.52811997031085678</v>
      </c>
      <c r="AB135" s="23">
        <f>EXP(-LN(2)/2)*AB134+(1-EXP(-LN(2)/2))/(LN(2)/2)*V135*Y135*VLOOKUP('Données projet'!$B$9,Paramètres!$A$1:$I$89,3,0)*0.475*44/12</f>
        <v>1.724001839954177E-6</v>
      </c>
      <c r="AC135" s="24">
        <f t="shared" si="111"/>
        <v>87.787468924344509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5.6843418860808015E-14</v>
      </c>
      <c r="AJ135" s="14">
        <f>AI135*VLOOKUP('Données projet'!$B$10,Paramètres!$A$1:$I$89,3,0)*VLOOKUP('Données projet'!$B$10,Paramètres!$A$1:$I$89,5,0)</f>
        <v>2.6602720026858149E-14</v>
      </c>
      <c r="AK135" s="14">
        <f t="shared" si="143"/>
        <v>4.6624771586320878E-13</v>
      </c>
      <c r="AL135" s="22">
        <f t="shared" si="112"/>
        <v>8.583811758418665E-13</v>
      </c>
      <c r="AM135" s="62">
        <f t="shared" si="113"/>
        <v>284.23438527370001</v>
      </c>
      <c r="AN135" s="62">
        <f ca="1">AVERAGE(OFFSET($AM$3,0,0,'Données projet'!$E$10+1,1))-AVERAGE(OFFSET($H$3,0,0,'Données projet'!$E$10+1,1))</f>
        <v>215.50514301701057</v>
      </c>
      <c r="AO135" s="62">
        <f t="shared" si="144"/>
        <v>273.18950868898253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32.467875849263855</v>
      </c>
      <c r="AV135" s="23">
        <f>EXP(-LN(2)/25)*AV134+(1-EXP(-LN(2)/25))/(LN(2)/25)*Calculateur!AQ135*Calculateur!AS135*VLOOKUP('Données projet'!$B$10,Paramètres!$A$1:$I$89,3,0)*0.475*44/12</f>
        <v>0.44624423021278614</v>
      </c>
      <c r="AW135" s="23">
        <f>EXP(-LN(2)/2)*AW134+(1-EXP(-LN(2)/2))/(LN(2)/2)*AQ135*AT135*VLOOKUP('Données projet'!$B$10,Paramètres!$A$1:$I$89,3,0)*0.475*44/12</f>
        <v>4.2619066375617231E-10</v>
      </c>
      <c r="AX135" s="23">
        <f t="shared" si="114"/>
        <v>32.91412007990283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-1.1368683772161603E-13</v>
      </c>
      <c r="BE135" s="14">
        <f>BD135*VLOOKUP('Données projet'!$B$11,Paramètres!$A$1:$I$89,3,0)*VLOOKUP('Données projet'!$B$11,Paramètres!$A$1:$I$89,5,0)</f>
        <v>-1.1527845344971866E-13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396.06968288200386</v>
      </c>
      <c r="BJ135" s="62">
        <f t="shared" si="146"/>
        <v>273.35778700650792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76.834600158694286</v>
      </c>
      <c r="BQ135" s="23">
        <f>EXP(-LN(2)/25)*BQ134+(1-EXP(-LN(2)/25))/(LN(2)/25)*Calculateur!BL135*Calculateur!BN135*VLOOKUP('Données projet'!$B$11,Paramètres!$A$1:$I$89,3,0)*0.475*44/12</f>
        <v>19.859436030478737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96.694036189173019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394.69391436029986</v>
      </c>
      <c r="T136" s="62">
        <f t="shared" si="142"/>
        <v>311.37245656657353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85.548244653797383</v>
      </c>
      <c r="AA136" s="23">
        <f>EXP(-LN(2)/25)*AA135+(1-EXP(-LN(2)/25))/(LN(2)/25)*Calculateur!V136*Calculateur!X136*VLOOKUP('Données projet'!$B$9,Paramètres!$A$1:$I$89,3,0)*0.475*44/12</f>
        <v>0.51367850195008424</v>
      </c>
      <c r="AB136" s="23">
        <f>EXP(-LN(2)/2)*AB135+(1-EXP(-LN(2)/2))/(LN(2)/2)*V136*Y136*VLOOKUP('Données projet'!$B$9,Paramètres!$A$1:$I$89,3,0)*0.475*44/12</f>
        <v>1.2190533918096836E-6</v>
      </c>
      <c r="AC136" s="24">
        <f t="shared" si="111"/>
        <v>86.061924374800853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5.6843418860808015E-14</v>
      </c>
      <c r="AJ136" s="14">
        <f>AI136*VLOOKUP('Données projet'!$B$10,Paramètres!$A$1:$I$89,3,0)*VLOOKUP('Données projet'!$B$10,Paramètres!$A$1:$I$89,5,0)</f>
        <v>2.6602720026858149E-14</v>
      </c>
      <c r="AK136" s="14">
        <f t="shared" si="143"/>
        <v>4.6624771586320878E-13</v>
      </c>
      <c r="AL136" s="22">
        <f t="shared" si="112"/>
        <v>8.583811758418665E-13</v>
      </c>
      <c r="AM136" s="62">
        <f t="shared" si="113"/>
        <v>284.39223168033425</v>
      </c>
      <c r="AN136" s="62">
        <f ca="1">AVERAGE(OFFSET($AM$3,0,0,'Données projet'!$E$10+1,1))-AVERAGE(OFFSET($H$3,0,0,'Données projet'!$E$10+1,1))</f>
        <v>215.50514301701057</v>
      </c>
      <c r="AO136" s="62">
        <f t="shared" si="144"/>
        <v>273.18950868898253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31.831200607308631</v>
      </c>
      <c r="AV136" s="23">
        <f>EXP(-LN(2)/25)*AV135+(1-EXP(-LN(2)/25))/(LN(2)/25)*Calculateur!AQ136*Calculateur!AS136*VLOOKUP('Données projet'!$B$10,Paramètres!$A$1:$I$89,3,0)*0.475*44/12</f>
        <v>0.43404165827065333</v>
      </c>
      <c r="AW136" s="23">
        <f>EXP(-LN(2)/2)*AW135+(1-EXP(-LN(2)/2))/(LN(2)/2)*AQ136*AT136*VLOOKUP('Données projet'!$B$10,Paramètres!$A$1:$I$89,3,0)*0.475*44/12</f>
        <v>3.0136230842038518E-10</v>
      </c>
      <c r="AX136" s="23">
        <f t="shared" si="114"/>
        <v>32.265242265880644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-1.1368683772161603E-13</v>
      </c>
      <c r="BE136" s="14">
        <f>BD136*VLOOKUP('Données projet'!$B$11,Paramètres!$A$1:$I$89,3,0)*VLOOKUP('Données projet'!$B$11,Paramètres!$A$1:$I$89,5,0)</f>
        <v>-1.1527845344971866E-13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396.06968288200386</v>
      </c>
      <c r="BJ136" s="62">
        <f t="shared" si="146"/>
        <v>273.35778700650792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75.327920514060906</v>
      </c>
      <c r="BQ136" s="23">
        <f>EXP(-LN(2)/25)*BQ135+(1-EXP(-LN(2)/25))/(LN(2)/25)*Calculateur!BL136*Calculateur!BN136*VLOOKUP('Données projet'!$B$11,Paramètres!$A$1:$I$89,3,0)*0.475*44/12</f>
        <v>19.316378707862945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94.644299221923859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394.69391436029986</v>
      </c>
      <c r="T137" s="62">
        <f t="shared" si="142"/>
        <v>311.37245656657353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83.870695755413379</v>
      </c>
      <c r="AA137" s="23">
        <f>EXP(-LN(2)/25)*AA136+(1-EXP(-LN(2)/25))/(LN(2)/25)*Calculateur!V137*Calculateur!X137*VLOOKUP('Données projet'!$B$9,Paramètres!$A$1:$I$89,3,0)*0.475*44/12</f>
        <v>0.49963193630108083</v>
      </c>
      <c r="AB137" s="23">
        <f>EXP(-LN(2)/2)*AB136+(1-EXP(-LN(2)/2))/(LN(2)/2)*V137*Y137*VLOOKUP('Données projet'!$B$9,Paramètres!$A$1:$I$89,3,0)*0.475*44/12</f>
        <v>8.6200091997708852E-7</v>
      </c>
      <c r="AC137" s="24">
        <f t="shared" si="111"/>
        <v>84.370328553715382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5.6843418860808015E-14</v>
      </c>
      <c r="AJ137" s="14">
        <f>AI137*VLOOKUP('Données projet'!$B$10,Paramètres!$A$1:$I$89,3,0)*VLOOKUP('Données projet'!$B$10,Paramètres!$A$1:$I$89,5,0)</f>
        <v>2.6602720026858149E-14</v>
      </c>
      <c r="AK137" s="14">
        <f t="shared" si="143"/>
        <v>4.6624771586320878E-13</v>
      </c>
      <c r="AL137" s="22">
        <f t="shared" si="112"/>
        <v>8.583811758418665E-13</v>
      </c>
      <c r="AM137" s="62">
        <f t="shared" si="113"/>
        <v>284.54733980470513</v>
      </c>
      <c r="AN137" s="62">
        <f ca="1">AVERAGE(OFFSET($AM$3,0,0,'Données projet'!$E$10+1,1))-AVERAGE(OFFSET($H$3,0,0,'Données projet'!$E$10+1,1))</f>
        <v>215.50514301701057</v>
      </c>
      <c r="AO137" s="62">
        <f t="shared" si="144"/>
        <v>273.18950868898253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31.207010178514597</v>
      </c>
      <c r="AV137" s="23">
        <f>EXP(-LN(2)/25)*AV136+(1-EXP(-LN(2)/25))/(LN(2)/25)*Calculateur!AQ137*Calculateur!AS137*VLOOKUP('Données projet'!$B$10,Paramètres!$A$1:$I$89,3,0)*0.475*44/12</f>
        <v>0.42217276629998352</v>
      </c>
      <c r="AW137" s="23">
        <f>EXP(-LN(2)/2)*AW136+(1-EXP(-LN(2)/2))/(LN(2)/2)*AQ137*AT137*VLOOKUP('Données projet'!$B$10,Paramètres!$A$1:$I$89,3,0)*0.475*44/12</f>
        <v>2.1309533187808615E-10</v>
      </c>
      <c r="AX137" s="23">
        <f t="shared" si="114"/>
        <v>31.629182945027676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-1.1368683772161603E-13</v>
      </c>
      <c r="BE137" s="14">
        <f>BD137*VLOOKUP('Données projet'!$B$11,Paramètres!$A$1:$I$89,3,0)*VLOOKUP('Données projet'!$B$11,Paramètres!$A$1:$I$89,5,0)</f>
        <v>-1.1527845344971866E-13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396.06968288200386</v>
      </c>
      <c r="BJ137" s="62">
        <f t="shared" si="146"/>
        <v>273.35778700650792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73.850785938274939</v>
      </c>
      <c r="BQ137" s="23">
        <f>EXP(-LN(2)/25)*BQ136+(1-EXP(-LN(2)/25))/(LN(2)/25)*Calculateur!BL137*Calculateur!BN137*VLOOKUP('Données projet'!$B$11,Paramètres!$A$1:$I$89,3,0)*0.475*44/12</f>
        <v>18.788171316292225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92.63895725456716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394.69391436029986</v>
      </c>
      <c r="T138" s="62">
        <f t="shared" si="142"/>
        <v>311.37245656657353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82.226042567722885</v>
      </c>
      <c r="AA138" s="23">
        <f>EXP(-LN(2)/25)*AA137+(1-EXP(-LN(2)/25))/(LN(2)/25)*Calculateur!V138*Calculateur!X138*VLOOKUP('Données projet'!$B$9,Paramètres!$A$1:$I$89,3,0)*0.475*44/12</f>
        <v>0.48596947472842617</v>
      </c>
      <c r="AB138" s="23">
        <f>EXP(-LN(2)/2)*AB137+(1-EXP(-LN(2)/2))/(LN(2)/2)*V138*Y138*VLOOKUP('Données projet'!$B$9,Paramètres!$A$1:$I$89,3,0)*0.475*44/12</f>
        <v>6.0952669590484179E-7</v>
      </c>
      <c r="AC138" s="24">
        <f t="shared" si="111"/>
        <v>82.712012651978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5.6843418860808015E-14</v>
      </c>
      <c r="AJ138" s="14">
        <f>AI138*VLOOKUP('Données projet'!$B$10,Paramètres!$A$1:$I$89,3,0)*VLOOKUP('Données projet'!$B$10,Paramètres!$A$1:$I$89,5,0)</f>
        <v>2.6602720026858149E-14</v>
      </c>
      <c r="AK138" s="14">
        <f t="shared" si="143"/>
        <v>4.6624771586320878E-13</v>
      </c>
      <c r="AL138" s="22">
        <f t="shared" si="112"/>
        <v>8.583811758418665E-13</v>
      </c>
      <c r="AM138" s="62">
        <f t="shared" si="113"/>
        <v>284.699757149888</v>
      </c>
      <c r="AN138" s="62">
        <f ca="1">AVERAGE(OFFSET($AM$3,0,0,'Données projet'!$E$10+1,1))-AVERAGE(OFFSET($H$3,0,0,'Données projet'!$E$10+1,1))</f>
        <v>215.50514301701057</v>
      </c>
      <c r="AO138" s="62">
        <f t="shared" si="144"/>
        <v>273.18950868898253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30.595059743310646</v>
      </c>
      <c r="AV138" s="23">
        <f>EXP(-LN(2)/25)*AV137+(1-EXP(-LN(2)/25))/(LN(2)/25)*Calculateur!AQ138*Calculateur!AS138*VLOOKUP('Données projet'!$B$10,Paramètres!$A$1:$I$89,3,0)*0.475*44/12</f>
        <v>0.41062842980440956</v>
      </c>
      <c r="AW138" s="23">
        <f>EXP(-LN(2)/2)*AW137+(1-EXP(-LN(2)/2))/(LN(2)/2)*AQ138*AT138*VLOOKUP('Données projet'!$B$10,Paramètres!$A$1:$I$89,3,0)*0.475*44/12</f>
        <v>1.5068115421019259E-10</v>
      </c>
      <c r="AX138" s="23">
        <f t="shared" si="114"/>
        <v>31.005688173265735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-1.1368683772161603E-13</v>
      </c>
      <c r="BE138" s="14">
        <f>BD138*VLOOKUP('Données projet'!$B$11,Paramètres!$A$1:$I$89,3,0)*VLOOKUP('Données projet'!$B$11,Paramètres!$A$1:$I$89,5,0)</f>
        <v>-1.1527845344971866E-13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396.06968288200386</v>
      </c>
      <c r="BJ138" s="62">
        <f t="shared" si="146"/>
        <v>273.35778700650792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72.402617070557014</v>
      </c>
      <c r="BQ138" s="23">
        <f>EXP(-LN(2)/25)*BQ137+(1-EXP(-LN(2)/25))/(LN(2)/25)*Calculateur!BL138*Calculateur!BN138*VLOOKUP('Données projet'!$B$11,Paramètres!$A$1:$I$89,3,0)*0.475*44/12</f>
        <v>18.274407783621225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90.677024854178242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394.69391436029986</v>
      </c>
      <c r="T139" s="62">
        <f t="shared" si="142"/>
        <v>311.37245656657353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80.613640025903621</v>
      </c>
      <c r="AA139" s="23">
        <f>EXP(-LN(2)/25)*AA138+(1-EXP(-LN(2)/25))/(LN(2)/25)*Calculateur!V139*Calculateur!X139*VLOOKUP('Données projet'!$B$9,Paramètres!$A$1:$I$89,3,0)*0.475*44/12</f>
        <v>0.47268061388595339</v>
      </c>
      <c r="AB139" s="23">
        <f>EXP(-LN(2)/2)*AB138+(1-EXP(-LN(2)/2))/(LN(2)/2)*V139*Y139*VLOOKUP('Données projet'!$B$9,Paramètres!$A$1:$I$89,3,0)*0.475*44/12</f>
        <v>4.3100045998854426E-7</v>
      </c>
      <c r="AC139" s="24">
        <f t="shared" si="111"/>
        <v>81.086321070790035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5.6843418860808015E-14</v>
      </c>
      <c r="AJ139" s="14">
        <f>AI139*VLOOKUP('Données projet'!$B$10,Paramètres!$A$1:$I$89,3,0)*VLOOKUP('Données projet'!$B$10,Paramètres!$A$1:$I$89,5,0)</f>
        <v>2.6602720026858149E-14</v>
      </c>
      <c r="AK139" s="14">
        <f t="shared" si="143"/>
        <v>4.6624771586320878E-13</v>
      </c>
      <c r="AL139" s="22">
        <f t="shared" si="112"/>
        <v>8.583811758418665E-13</v>
      </c>
      <c r="AM139" s="62">
        <f t="shared" si="113"/>
        <v>284.84953039488607</v>
      </c>
      <c r="AN139" s="62">
        <f ca="1">AVERAGE(OFFSET($AM$3,0,0,'Données projet'!$E$10+1,1))-AVERAGE(OFFSET($H$3,0,0,'Données projet'!$E$10+1,1))</f>
        <v>215.50514301701057</v>
      </c>
      <c r="AO139" s="62">
        <f t="shared" si="144"/>
        <v>273.18950868898253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29.995109282888134</v>
      </c>
      <c r="AV139" s="23">
        <f>EXP(-LN(2)/25)*AV138+(1-EXP(-LN(2)/25))/(LN(2)/25)*Calculateur!AQ139*Calculateur!AS139*VLOOKUP('Données projet'!$B$10,Paramètres!$A$1:$I$89,3,0)*0.475*44/12</f>
        <v>0.39939977379739738</v>
      </c>
      <c r="AW139" s="23">
        <f>EXP(-LN(2)/2)*AW138+(1-EXP(-LN(2)/2))/(LN(2)/2)*AQ139*AT139*VLOOKUP('Données projet'!$B$10,Paramètres!$A$1:$I$89,3,0)*0.475*44/12</f>
        <v>1.0654766593904308E-10</v>
      </c>
      <c r="AX139" s="23">
        <f t="shared" si="114"/>
        <v>30.394509056792081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-1.1368683772161603E-13</v>
      </c>
      <c r="BE139" s="14">
        <f>BD139*VLOOKUP('Données projet'!$B$11,Paramètres!$A$1:$I$89,3,0)*VLOOKUP('Données projet'!$B$11,Paramètres!$A$1:$I$89,5,0)</f>
        <v>-1.1527845344971866E-13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396.06968288200386</v>
      </c>
      <c r="BJ139" s="62">
        <f t="shared" si="146"/>
        <v>273.35778700650792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70.982845911039249</v>
      </c>
      <c r="BQ139" s="23">
        <f>EXP(-LN(2)/25)*BQ138+(1-EXP(-LN(2)/25))/(LN(2)/25)*Calculateur!BL139*Calculateur!BN139*VLOOKUP('Données projet'!$B$11,Paramètres!$A$1:$I$89,3,0)*0.475*44/12</f>
        <v>17.774693141768765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88.757539052808013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394.69391436029986</v>
      </c>
      <c r="T140" s="62">
        <f t="shared" si="142"/>
        <v>311.37245656657353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79.032855714460979</v>
      </c>
      <c r="AA140" s="23">
        <f>EXP(-LN(2)/25)*AA139+(1-EXP(-LN(2)/25))/(LN(2)/25)*Calculateur!V140*Calculateur!X140*VLOOKUP('Données projet'!$B$9,Paramètres!$A$1:$I$89,3,0)*0.475*44/12</f>
        <v>0.45975513764204884</v>
      </c>
      <c r="AB140" s="23">
        <f>EXP(-LN(2)/2)*AB139+(1-EXP(-LN(2)/2))/(LN(2)/2)*V140*Y140*VLOOKUP('Données projet'!$B$9,Paramètres!$A$1:$I$89,3,0)*0.475*44/12</f>
        <v>3.0476334795242089E-7</v>
      </c>
      <c r="AC140" s="24">
        <f t="shared" si="111"/>
        <v>79.492611156866374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5.6843418860808015E-14</v>
      </c>
      <c r="AJ140" s="14">
        <f>AI140*VLOOKUP('Données projet'!$B$10,Paramètres!$A$1:$I$89,3,0)*VLOOKUP('Données projet'!$B$10,Paramètres!$A$1:$I$89,5,0)</f>
        <v>2.6602720026858149E-14</v>
      </c>
      <c r="AK140" s="14">
        <f t="shared" si="143"/>
        <v>4.6624771586320878E-13</v>
      </c>
      <c r="AL140" s="22">
        <f t="shared" si="112"/>
        <v>8.583811758418665E-13</v>
      </c>
      <c r="AM140" s="62">
        <f t="shared" si="113"/>
        <v>284.99670540892623</v>
      </c>
      <c r="AN140" s="62">
        <f ca="1">AVERAGE(OFFSET($AM$3,0,0,'Données projet'!$E$10+1,1))-AVERAGE(OFFSET($H$3,0,0,'Données projet'!$E$10+1,1))</f>
        <v>215.50514301701057</v>
      </c>
      <c r="AO140" s="62">
        <f t="shared" si="144"/>
        <v>273.18950868898253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29.406923485060858</v>
      </c>
      <c r="AV140" s="23">
        <f>EXP(-LN(2)/25)*AV139+(1-EXP(-LN(2)/25))/(LN(2)/25)*Calculateur!AQ140*Calculateur!AS140*VLOOKUP('Données projet'!$B$10,Paramètres!$A$1:$I$89,3,0)*0.475*44/12</f>
        <v>0.38847816597938628</v>
      </c>
      <c r="AW140" s="23">
        <f>EXP(-LN(2)/2)*AW139+(1-EXP(-LN(2)/2))/(LN(2)/2)*AQ140*AT140*VLOOKUP('Données projet'!$B$10,Paramètres!$A$1:$I$89,3,0)*0.475*44/12</f>
        <v>7.5340577105096294E-11</v>
      </c>
      <c r="AX140" s="23">
        <f t="shared" si="114"/>
        <v>29.795401651115583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-1.1368683772161603E-13</v>
      </c>
      <c r="BE140" s="14">
        <f>BD140*VLOOKUP('Données projet'!$B$11,Paramètres!$A$1:$I$89,3,0)*VLOOKUP('Données projet'!$B$11,Paramètres!$A$1:$I$89,5,0)</f>
        <v>-1.1527845344971866E-13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396.06968288200386</v>
      </c>
      <c r="BJ140" s="62">
        <f t="shared" si="146"/>
        <v>273.35778700650792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69.590915597984718</v>
      </c>
      <c r="BQ140" s="23">
        <f>EXP(-LN(2)/25)*BQ139+(1-EXP(-LN(2)/25))/(LN(2)/25)*Calculateur!BL140*Calculateur!BN140*VLOOKUP('Données projet'!$B$11,Paramètres!$A$1:$I$89,3,0)*0.475*44/12</f>
        <v>17.288643223076612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86.879558821061323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394.69391436029986</v>
      </c>
      <c r="T141" s="62">
        <f t="shared" si="142"/>
        <v>311.37245656657353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77.483069619182515</v>
      </c>
      <c r="AA141" s="23">
        <f>EXP(-LN(2)/25)*AA140+(1-EXP(-LN(2)/25))/(LN(2)/25)*Calculateur!V141*Calculateur!X141*VLOOKUP('Données projet'!$B$9,Paramètres!$A$1:$I$89,3,0)*0.475*44/12</f>
        <v>0.4471831092257551</v>
      </c>
      <c r="AB141" s="23">
        <f>EXP(-LN(2)/2)*AB140+(1-EXP(-LN(2)/2))/(LN(2)/2)*V141*Y141*VLOOKUP('Données projet'!$B$9,Paramètres!$A$1:$I$89,3,0)*0.475*44/12</f>
        <v>2.1550022999427213E-7</v>
      </c>
      <c r="AC141" s="24">
        <f t="shared" si="111"/>
        <v>77.930252943908513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5.6843418860808015E-14</v>
      </c>
      <c r="AJ141" s="14">
        <f>AI141*VLOOKUP('Données projet'!$B$10,Paramètres!$A$1:$I$89,3,0)*VLOOKUP('Données projet'!$B$10,Paramètres!$A$1:$I$89,5,0)</f>
        <v>2.6602720026858149E-14</v>
      </c>
      <c r="AK141" s="14">
        <f t="shared" si="143"/>
        <v>4.6624771586320878E-13</v>
      </c>
      <c r="AL141" s="22">
        <f t="shared" si="112"/>
        <v>8.583811758418665E-13</v>
      </c>
      <c r="AM141" s="62">
        <f t="shared" si="113"/>
        <v>285.14132726550679</v>
      </c>
      <c r="AN141" s="62">
        <f ca="1">AVERAGE(OFFSET($AM$3,0,0,'Données projet'!$E$10+1,1))-AVERAGE(OFFSET($H$3,0,0,'Données projet'!$E$10+1,1))</f>
        <v>215.50514301701057</v>
      </c>
      <c r="AO141" s="62">
        <f t="shared" si="144"/>
        <v>273.18950868898253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28.830271651971064</v>
      </c>
      <c r="AV141" s="23">
        <f>EXP(-LN(2)/25)*AV140+(1-EXP(-LN(2)/25))/(LN(2)/25)*Calculateur!AQ141*Calculateur!AS141*VLOOKUP('Données projet'!$B$10,Paramètres!$A$1:$I$89,3,0)*0.475*44/12</f>
        <v>0.37785521010150108</v>
      </c>
      <c r="AW141" s="23">
        <f>EXP(-LN(2)/2)*AW140+(1-EXP(-LN(2)/2))/(LN(2)/2)*AQ141*AT141*VLOOKUP('Données projet'!$B$10,Paramètres!$A$1:$I$89,3,0)*0.475*44/12</f>
        <v>5.3273832969521538E-11</v>
      </c>
      <c r="AX141" s="23">
        <f t="shared" si="114"/>
        <v>29.208126862125837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-1.1368683772161603E-13</v>
      </c>
      <c r="BE141" s="14">
        <f>BD141*VLOOKUP('Données projet'!$B$11,Paramètres!$A$1:$I$89,3,0)*VLOOKUP('Données projet'!$B$11,Paramètres!$A$1:$I$89,5,0)</f>
        <v>-1.1527845344971866E-13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396.06968288200386</v>
      </c>
      <c r="BJ141" s="62">
        <f t="shared" si="146"/>
        <v>273.35778700650792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68.22628018937553</v>
      </c>
      <c r="BQ141" s="23">
        <f>EXP(-LN(2)/25)*BQ140+(1-EXP(-LN(2)/25))/(LN(2)/25)*Calculateur!BL141*Calculateur!BN141*VLOOKUP('Données projet'!$B$11,Paramètres!$A$1:$I$89,3,0)*0.475*44/12</f>
        <v>16.81588436497135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85.042164554346883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394.69391436029986</v>
      </c>
      <c r="T142" s="62">
        <f t="shared" si="142"/>
        <v>311.37245656657353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75.963673883956275</v>
      </c>
      <c r="AA142" s="23">
        <f>EXP(-LN(2)/25)*AA141+(1-EXP(-LN(2)/25))/(LN(2)/25)*Calculateur!V142*Calculateur!X142*VLOOKUP('Données projet'!$B$9,Paramètres!$A$1:$I$89,3,0)*0.475*44/12</f>
        <v>0.43495486358763918</v>
      </c>
      <c r="AB142" s="23">
        <f>EXP(-LN(2)/2)*AB141+(1-EXP(-LN(2)/2))/(LN(2)/2)*V142*Y142*VLOOKUP('Données projet'!$B$9,Paramètres!$A$1:$I$89,3,0)*0.475*44/12</f>
        <v>1.5238167397621045E-7</v>
      </c>
      <c r="AC142" s="24">
        <f t="shared" si="111"/>
        <v>76.398628899925583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5.6843418860808015E-14</v>
      </c>
      <c r="AJ142" s="14">
        <f>AI142*VLOOKUP('Données projet'!$B$10,Paramètres!$A$1:$I$89,3,0)*VLOOKUP('Données projet'!$B$10,Paramètres!$A$1:$I$89,5,0)</f>
        <v>2.6602720026858149E-14</v>
      </c>
      <c r="AK142" s="14">
        <f t="shared" si="143"/>
        <v>4.6624771586320878E-13</v>
      </c>
      <c r="AL142" s="22">
        <f t="shared" si="112"/>
        <v>8.583811758418665E-13</v>
      </c>
      <c r="AM142" s="62">
        <f t="shared" si="113"/>
        <v>285.28344025620174</v>
      </c>
      <c r="AN142" s="62">
        <f ca="1">AVERAGE(OFFSET($AM$3,0,0,'Données projet'!$E$10+1,1))-AVERAGE(OFFSET($H$3,0,0,'Données projet'!$E$10+1,1))</f>
        <v>215.50514301701057</v>
      </c>
      <c r="AO142" s="62">
        <f t="shared" si="144"/>
        <v>273.18950868898253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28.26492760960527</v>
      </c>
      <c r="AV142" s="23">
        <f>EXP(-LN(2)/25)*AV141+(1-EXP(-LN(2)/25))/(LN(2)/25)*Calculateur!AQ142*Calculateur!AS142*VLOOKUP('Données projet'!$B$10,Paramètres!$A$1:$I$89,3,0)*0.475*44/12</f>
        <v>0.36752273951073361</v>
      </c>
      <c r="AW142" s="23">
        <f>EXP(-LN(2)/2)*AW141+(1-EXP(-LN(2)/2))/(LN(2)/2)*AQ142*AT142*VLOOKUP('Données projet'!$B$10,Paramètres!$A$1:$I$89,3,0)*0.475*44/12</f>
        <v>3.7670288552548147E-11</v>
      </c>
      <c r="AX142" s="23">
        <f t="shared" si="114"/>
        <v>28.632450349153672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-1.1368683772161603E-13</v>
      </c>
      <c r="BE142" s="14">
        <f>BD142*VLOOKUP('Données projet'!$B$11,Paramètres!$A$1:$I$89,3,0)*VLOOKUP('Données projet'!$B$11,Paramètres!$A$1:$I$89,5,0)</f>
        <v>-1.1527845344971866E-13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396.06968288200386</v>
      </c>
      <c r="BJ142" s="62">
        <f t="shared" si="146"/>
        <v>273.35778700650792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66.88840444878376</v>
      </c>
      <c r="BQ142" s="23">
        <f>EXP(-LN(2)/25)*BQ141+(1-EXP(-LN(2)/25))/(LN(2)/25)*Calculateur!BL142*Calculateur!BN142*VLOOKUP('Données projet'!$B$11,Paramètres!$A$1:$I$89,3,0)*0.475*44/12</f>
        <v>16.356053122702281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83.244457571486038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394.69391436029986</v>
      </c>
      <c r="T143" s="62">
        <f t="shared" si="142"/>
        <v>311.37245656657353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74.474072572357926</v>
      </c>
      <c r="AA143" s="23">
        <f>EXP(-LN(2)/25)*AA142+(1-EXP(-LN(2)/25))/(LN(2)/25)*Calculateur!V143*Calculateur!X143*VLOOKUP('Données projet'!$B$9,Paramètres!$A$1:$I$89,3,0)*0.475*44/12</f>
        <v>0.42306099996955304</v>
      </c>
      <c r="AB143" s="23">
        <f>EXP(-LN(2)/2)*AB142+(1-EXP(-LN(2)/2))/(LN(2)/2)*V143*Y143*VLOOKUP('Données projet'!$B$9,Paramètres!$A$1:$I$89,3,0)*0.475*44/12</f>
        <v>1.0775011499713606E-7</v>
      </c>
      <c r="AC143" s="24">
        <f t="shared" si="111"/>
        <v>74.897133680077587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5.6843418860808015E-14</v>
      </c>
      <c r="AJ143" s="14">
        <f>AI143*VLOOKUP('Données projet'!$B$10,Paramètres!$A$1:$I$89,3,0)*VLOOKUP('Données projet'!$B$10,Paramètres!$A$1:$I$89,5,0)</f>
        <v>2.6602720026858149E-14</v>
      </c>
      <c r="AK143" s="14">
        <f t="shared" si="143"/>
        <v>4.6624771586320878E-13</v>
      </c>
      <c r="AL143" s="22">
        <f t="shared" si="112"/>
        <v>8.583811758418665E-13</v>
      </c>
      <c r="AM143" s="62">
        <f t="shared" si="113"/>
        <v>285.42308790422521</v>
      </c>
      <c r="AN143" s="62">
        <f ca="1">AVERAGE(OFFSET($AM$3,0,0,'Données projet'!$E$10+1,1))-AVERAGE(OFFSET($H$3,0,0,'Données projet'!$E$10+1,1))</f>
        <v>215.50514301701057</v>
      </c>
      <c r="AO143" s="62">
        <f t="shared" si="144"/>
        <v>273.18950868898253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27.710669619084452</v>
      </c>
      <c r="AV143" s="23">
        <f>EXP(-LN(2)/25)*AV142+(1-EXP(-LN(2)/25))/(LN(2)/25)*Calculateur!AQ143*Calculateur!AS143*VLOOKUP('Données projet'!$B$10,Paramètres!$A$1:$I$89,3,0)*0.475*44/12</f>
        <v>0.35747281087163169</v>
      </c>
      <c r="AW143" s="23">
        <f>EXP(-LN(2)/2)*AW142+(1-EXP(-LN(2)/2))/(LN(2)/2)*AQ143*AT143*VLOOKUP('Données projet'!$B$10,Paramètres!$A$1:$I$89,3,0)*0.475*44/12</f>
        <v>2.6636916484760769E-11</v>
      </c>
      <c r="AX143" s="23">
        <f t="shared" si="114"/>
        <v>28.068142429982721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-1.1368683772161603E-13</v>
      </c>
      <c r="BE143" s="14">
        <f>BD143*VLOOKUP('Données projet'!$B$11,Paramètres!$A$1:$I$89,3,0)*VLOOKUP('Données projet'!$B$11,Paramètres!$A$1:$I$89,5,0)</f>
        <v>-1.1527845344971866E-13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396.06968288200386</v>
      </c>
      <c r="BJ143" s="62">
        <f t="shared" si="146"/>
        <v>273.35778700650792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65.576763635441367</v>
      </c>
      <c r="BQ143" s="23">
        <f>EXP(-LN(2)/25)*BQ142+(1-EXP(-LN(2)/25))/(LN(2)/25)*Calculateur!BL143*Calculateur!BN143*VLOOKUP('Données projet'!$B$11,Paramètres!$A$1:$I$89,3,0)*0.475*44/12</f>
        <v>15.908795989934536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81.485559625375899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394.69391436029986</v>
      </c>
      <c r="T144" s="62">
        <f t="shared" si="142"/>
        <v>311.37245656657353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73.013681433912936</v>
      </c>
      <c r="AA144" s="23">
        <f>EXP(-LN(2)/25)*AA143+(1-EXP(-LN(2)/25))/(LN(2)/25)*Calculateur!V144*Calculateur!X144*VLOOKUP('Données projet'!$B$9,Paramètres!$A$1:$I$89,3,0)*0.475*44/12</f>
        <v>0.41149237467757455</v>
      </c>
      <c r="AB144" s="23">
        <f>EXP(-LN(2)/2)*AB143+(1-EXP(-LN(2)/2))/(LN(2)/2)*V144*Y144*VLOOKUP('Données projet'!$B$9,Paramètres!$A$1:$I$89,3,0)*0.475*44/12</f>
        <v>7.6190836988105224E-8</v>
      </c>
      <c r="AC144" s="24">
        <f t="shared" si="111"/>
        <v>73.425173884781358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5.6843418860808015E-14</v>
      </c>
      <c r="AJ144" s="14">
        <f>AI144*VLOOKUP('Données projet'!$B$10,Paramètres!$A$1:$I$89,3,0)*VLOOKUP('Données projet'!$B$10,Paramètres!$A$1:$I$89,5,0)</f>
        <v>2.6602720026858149E-14</v>
      </c>
      <c r="AK144" s="14">
        <f t="shared" si="143"/>
        <v>4.6624771586320878E-13</v>
      </c>
      <c r="AL144" s="22">
        <f t="shared" si="112"/>
        <v>8.583811758418665E-13</v>
      </c>
      <c r="AM144" s="62">
        <f t="shared" si="113"/>
        <v>285.56031297776087</v>
      </c>
      <c r="AN144" s="62">
        <f ca="1">AVERAGE(OFFSET($AM$3,0,0,'Données projet'!$E$10+1,1))-AVERAGE(OFFSET($H$3,0,0,'Données projet'!$E$10+1,1))</f>
        <v>215.50514301701057</v>
      </c>
      <c r="AO144" s="62">
        <f t="shared" si="144"/>
        <v>273.18950868898253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27.167280289693757</v>
      </c>
      <c r="AV144" s="23">
        <f>EXP(-LN(2)/25)*AV143+(1-EXP(-LN(2)/25))/(LN(2)/25)*Calculateur!AQ144*Calculateur!AS144*VLOOKUP('Données projet'!$B$10,Paramètres!$A$1:$I$89,3,0)*0.475*44/12</f>
        <v>0.34769769805966882</v>
      </c>
      <c r="AW144" s="23">
        <f>EXP(-LN(2)/2)*AW143+(1-EXP(-LN(2)/2))/(LN(2)/2)*AQ144*AT144*VLOOKUP('Données projet'!$B$10,Paramètres!$A$1:$I$89,3,0)*0.475*44/12</f>
        <v>1.8835144276274074E-11</v>
      </c>
      <c r="AX144" s="23">
        <f t="shared" si="114"/>
        <v>27.514977987772262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-1.1368683772161603E-13</v>
      </c>
      <c r="BE144" s="14">
        <f>BD144*VLOOKUP('Données projet'!$B$11,Paramètres!$A$1:$I$89,3,0)*VLOOKUP('Données projet'!$B$11,Paramètres!$A$1:$I$89,5,0)</f>
        <v>-1.1527845344971866E-13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396.06968288200386</v>
      </c>
      <c r="BJ144" s="62">
        <f t="shared" si="146"/>
        <v>273.35778700650792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64.290843298426722</v>
      </c>
      <c r="BQ144" s="23">
        <f>EXP(-LN(2)/25)*BQ143+(1-EXP(-LN(2)/25))/(LN(2)/25)*Calculateur!BL144*Calculateur!BN144*VLOOKUP('Données projet'!$B$11,Paramètres!$A$1:$I$89,3,0)*0.475*44/12</f>
        <v>15.473769126982555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79.764612425409283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394.69391436029986</v>
      </c>
      <c r="T145" s="62">
        <f t="shared" si="142"/>
        <v>311.37245656657353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71.581927674942222</v>
      </c>
      <c r="AA145" s="23">
        <f>EXP(-LN(2)/25)*AA144+(1-EXP(-LN(2)/25))/(LN(2)/25)*Calculateur!V145*Calculateur!X145*VLOOKUP('Données projet'!$B$9,Paramètres!$A$1:$I$89,3,0)*0.475*44/12</f>
        <v>0.40024009405257277</v>
      </c>
      <c r="AB145" s="23">
        <f>EXP(-LN(2)/2)*AB144+(1-EXP(-LN(2)/2))/(LN(2)/2)*V145*Y145*VLOOKUP('Données projet'!$B$9,Paramètres!$A$1:$I$89,3,0)*0.475*44/12</f>
        <v>5.3875057498568032E-8</v>
      </c>
      <c r="AC145" s="24">
        <f t="shared" si="111"/>
        <v>71.982167822869854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5.6843418860808015E-14</v>
      </c>
      <c r="AJ145" s="14">
        <f>AI145*VLOOKUP('Données projet'!$B$10,Paramètres!$A$1:$I$89,3,0)*VLOOKUP('Données projet'!$B$10,Paramètres!$A$1:$I$89,5,0)</f>
        <v>2.6602720026858149E-14</v>
      </c>
      <c r="AK145" s="14">
        <f t="shared" si="143"/>
        <v>4.6624771586320878E-13</v>
      </c>
      <c r="AL145" s="22">
        <f t="shared" si="112"/>
        <v>8.583811758418665E-13</v>
      </c>
      <c r="AM145" s="62">
        <f t="shared" si="113"/>
        <v>285.69515750305993</v>
      </c>
      <c r="AN145" s="62">
        <f ca="1">AVERAGE(OFFSET($AM$3,0,0,'Données projet'!$E$10+1,1))-AVERAGE(OFFSET($H$3,0,0,'Données projet'!$E$10+1,1))</f>
        <v>215.50514301701057</v>
      </c>
      <c r="AO145" s="62">
        <f t="shared" si="144"/>
        <v>273.18950868898253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26.634546493617648</v>
      </c>
      <c r="AV145" s="23">
        <f>EXP(-LN(2)/25)*AV144+(1-EXP(-LN(2)/25))/(LN(2)/25)*Calculateur!AQ145*Calculateur!AS145*VLOOKUP('Données projet'!$B$10,Paramètres!$A$1:$I$89,3,0)*0.475*44/12</f>
        <v>0.3381898862215999</v>
      </c>
      <c r="AW145" s="23">
        <f>EXP(-LN(2)/2)*AW144+(1-EXP(-LN(2)/2))/(LN(2)/2)*AQ145*AT145*VLOOKUP('Données projet'!$B$10,Paramètres!$A$1:$I$89,3,0)*0.475*44/12</f>
        <v>1.3318458242380385E-11</v>
      </c>
      <c r="AX145" s="23">
        <f t="shared" si="114"/>
        <v>26.972736379852567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-1.1368683772161603E-13</v>
      </c>
      <c r="BE145" s="14">
        <f>BD145*VLOOKUP('Données projet'!$B$11,Paramètres!$A$1:$I$89,3,0)*VLOOKUP('Données projet'!$B$11,Paramètres!$A$1:$I$89,5,0)</f>
        <v>-1.1527845344971866E-13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396.06968288200386</v>
      </c>
      <c r="BJ145" s="62">
        <f t="shared" si="146"/>
        <v>273.35778700650792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63.030139074886968</v>
      </c>
      <c r="BQ145" s="23">
        <f>EXP(-LN(2)/25)*BQ144+(1-EXP(-LN(2)/25))/(LN(2)/25)*Calculateur!BL145*Calculateur!BN145*VLOOKUP('Données projet'!$B$11,Paramètres!$A$1:$I$89,3,0)*0.475*44/12</f>
        <v>15.050638096475064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78.08077717136203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394.69391436029986</v>
      </c>
      <c r="T146" s="62">
        <f t="shared" si="142"/>
        <v>311.37245656657353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70.178249733901353</v>
      </c>
      <c r="AA146" s="23">
        <f>EXP(-LN(2)/25)*AA145+(1-EXP(-LN(2)/25))/(LN(2)/25)*Calculateur!V146*Calculateur!X146*VLOOKUP('Données projet'!$B$9,Paramètres!$A$1:$I$89,3,0)*0.475*44/12</f>
        <v>0.38929550763299337</v>
      </c>
      <c r="AB146" s="23">
        <f>EXP(-LN(2)/2)*AB145+(1-EXP(-LN(2)/2))/(LN(2)/2)*V146*Y146*VLOOKUP('Données projet'!$B$9,Paramètres!$A$1:$I$89,3,0)*0.475*44/12</f>
        <v>3.8095418494052612E-8</v>
      </c>
      <c r="AC146" s="24">
        <f t="shared" si="111"/>
        <v>70.567545279629769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5.6843418860808015E-14</v>
      </c>
      <c r="AJ146" s="14">
        <f>AI146*VLOOKUP('Données projet'!$B$10,Paramètres!$A$1:$I$89,3,0)*VLOOKUP('Données projet'!$B$10,Paramètres!$A$1:$I$89,5,0)</f>
        <v>2.6602720026858149E-14</v>
      </c>
      <c r="AK146" s="14">
        <f t="shared" si="143"/>
        <v>4.6624771586320878E-13</v>
      </c>
      <c r="AL146" s="22">
        <f t="shared" si="112"/>
        <v>8.583811758418665E-13</v>
      </c>
      <c r="AM146" s="62">
        <f t="shared" si="113"/>
        <v>285.8276627773123</v>
      </c>
      <c r="AN146" s="62">
        <f ca="1">AVERAGE(OFFSET($AM$3,0,0,'Données projet'!$E$10+1,1))-AVERAGE(OFFSET($H$3,0,0,'Données projet'!$E$10+1,1))</f>
        <v>215.50514301701057</v>
      </c>
      <c r="AO146" s="62">
        <f t="shared" si="144"/>
        <v>273.18950868898253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26.112259282347061</v>
      </c>
      <c r="AV146" s="23">
        <f>EXP(-LN(2)/25)*AV145+(1-EXP(-LN(2)/25))/(LN(2)/25)*Calculateur!AQ146*Calculateur!AS146*VLOOKUP('Données projet'!$B$10,Paramètres!$A$1:$I$89,3,0)*0.475*44/12</f>
        <v>0.32894206599823705</v>
      </c>
      <c r="AW146" s="23">
        <f>EXP(-LN(2)/2)*AW145+(1-EXP(-LN(2)/2))/(LN(2)/2)*AQ146*AT146*VLOOKUP('Données projet'!$B$10,Paramètres!$A$1:$I$89,3,0)*0.475*44/12</f>
        <v>9.4175721381370368E-12</v>
      </c>
      <c r="AX146" s="23">
        <f t="shared" si="114"/>
        <v>26.441201348354717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-1.1368683772161603E-13</v>
      </c>
      <c r="BE146" s="14">
        <f>BD146*VLOOKUP('Données projet'!$B$11,Paramètres!$A$1:$I$89,3,0)*VLOOKUP('Données projet'!$B$11,Paramètres!$A$1:$I$89,5,0)</f>
        <v>-1.1527845344971866E-13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396.06968288200386</v>
      </c>
      <c r="BJ146" s="62">
        <f t="shared" si="146"/>
        <v>273.35778700650792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61.794156492217184</v>
      </c>
      <c r="BQ146" s="23">
        <f>EXP(-LN(2)/25)*BQ145+(1-EXP(-LN(2)/25))/(LN(2)/25)*Calculateur!BL146*Calculateur!BN146*VLOOKUP('Données projet'!$B$11,Paramètres!$A$1:$I$89,3,0)*0.475*44/12</f>
        <v>14.639077606248295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76.433234098465476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394.69391436029986</v>
      </c>
      <c r="T147" s="62">
        <f t="shared" si="142"/>
        <v>311.37245656657353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68.802097061125295</v>
      </c>
      <c r="AA147" s="23">
        <f>EXP(-LN(2)/25)*AA146+(1-EXP(-LN(2)/25))/(LN(2)/25)*Calculateur!V147*Calculateur!X147*VLOOKUP('Données projet'!$B$9,Paramètres!$A$1:$I$89,3,0)*0.475*44/12</f>
        <v>0.37865020150460815</v>
      </c>
      <c r="AB147" s="23">
        <f>EXP(-LN(2)/2)*AB146+(1-EXP(-LN(2)/2))/(LN(2)/2)*V147*Y147*VLOOKUP('Données projet'!$B$9,Paramètres!$A$1:$I$89,3,0)*0.475*44/12</f>
        <v>2.6937528749284016E-8</v>
      </c>
      <c r="AC147" s="24">
        <f t="shared" si="111"/>
        <v>69.180747289567435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5.6843418860808015E-14</v>
      </c>
      <c r="AJ147" s="14">
        <f>AI147*VLOOKUP('Données projet'!$B$10,Paramètres!$A$1:$I$89,3,0)*VLOOKUP('Données projet'!$B$10,Paramètres!$A$1:$I$89,5,0)</f>
        <v>2.6602720026858149E-14</v>
      </c>
      <c r="AK147" s="14">
        <f t="shared" si="143"/>
        <v>4.6624771586320878E-13</v>
      </c>
      <c r="AL147" s="22">
        <f t="shared" si="112"/>
        <v>8.583811758418665E-13</v>
      </c>
      <c r="AM147" s="62">
        <f t="shared" si="113"/>
        <v>285.95786938129373</v>
      </c>
      <c r="AN147" s="62">
        <f ca="1">AVERAGE(OFFSET($AM$3,0,0,'Données projet'!$E$10+1,1))-AVERAGE(OFFSET($H$3,0,0,'Données projet'!$E$10+1,1))</f>
        <v>215.50514301701057</v>
      </c>
      <c r="AO147" s="62">
        <f t="shared" si="144"/>
        <v>273.18950868898253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25.600213804725747</v>
      </c>
      <c r="AV147" s="23">
        <f>EXP(-LN(2)/25)*AV146+(1-EXP(-LN(2)/25))/(LN(2)/25)*Calculateur!AQ147*Calculateur!AS147*VLOOKUP('Données projet'!$B$10,Paramètres!$A$1:$I$89,3,0)*0.475*44/12</f>
        <v>0.3199471279052038</v>
      </c>
      <c r="AW147" s="23">
        <f>EXP(-LN(2)/2)*AW146+(1-EXP(-LN(2)/2))/(LN(2)/2)*AQ147*AT147*VLOOKUP('Données projet'!$B$10,Paramètres!$A$1:$I$89,3,0)*0.475*44/12</f>
        <v>6.6592291211901923E-12</v>
      </c>
      <c r="AX147" s="23">
        <f t="shared" si="114"/>
        <v>25.920160932637611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-1.1368683772161603E-13</v>
      </c>
      <c r="BE147" s="14">
        <f>BD147*VLOOKUP('Données projet'!$B$11,Paramètres!$A$1:$I$89,3,0)*VLOOKUP('Données projet'!$B$11,Paramètres!$A$1:$I$89,5,0)</f>
        <v>-1.1527845344971866E-13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396.06968288200386</v>
      </c>
      <c r="BJ147" s="62">
        <f t="shared" si="146"/>
        <v>273.35778700650792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60.582410774118614</v>
      </c>
      <c r="BQ147" s="23">
        <f>EXP(-LN(2)/25)*BQ146+(1-EXP(-LN(2)/25))/(LN(2)/25)*Calculateur!BL147*Calculateur!BN147*VLOOKUP('Données projet'!$B$11,Paramètres!$A$1:$I$89,3,0)*0.475*44/12</f>
        <v>14.238771259269802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74.821182033388411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394.69391436029986</v>
      </c>
      <c r="T148" s="62">
        <f t="shared" si="142"/>
        <v>311.37245656657353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67.452929902892123</v>
      </c>
      <c r="AA148" s="23">
        <f>EXP(-LN(2)/25)*AA147+(1-EXP(-LN(2)/25))/(LN(2)/25)*Calculateur!V148*Calculateur!X148*VLOOKUP('Données projet'!$B$9,Paramètres!$A$1:$I$89,3,0)*0.475*44/12</f>
        <v>0.36829599183211598</v>
      </c>
      <c r="AB148" s="23">
        <f>EXP(-LN(2)/2)*AB147+(1-EXP(-LN(2)/2))/(LN(2)/2)*V148*Y148*VLOOKUP('Données projet'!$B$9,Paramètres!$A$1:$I$89,3,0)*0.475*44/12</f>
        <v>1.9047709247026306E-8</v>
      </c>
      <c r="AC148" s="24">
        <f t="shared" si="111"/>
        <v>67.82122591377194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5.6843418860808015E-14</v>
      </c>
      <c r="AJ148" s="14">
        <f>AI148*VLOOKUP('Données projet'!$B$10,Paramètres!$A$1:$I$89,3,0)*VLOOKUP('Données projet'!$B$10,Paramètres!$A$1:$I$89,5,0)</f>
        <v>2.6602720026858149E-14</v>
      </c>
      <c r="AK148" s="14">
        <f t="shared" si="143"/>
        <v>4.6624771586320878E-13</v>
      </c>
      <c r="AL148" s="22">
        <f t="shared" si="112"/>
        <v>8.583811758418665E-13</v>
      </c>
      <c r="AM148" s="62">
        <f t="shared" si="113"/>
        <v>286.08581719179443</v>
      </c>
      <c r="AN148" s="62">
        <f ca="1">AVERAGE(OFFSET($AM$3,0,0,'Données projet'!$E$10+1,1))-AVERAGE(OFFSET($H$3,0,0,'Données projet'!$E$10+1,1))</f>
        <v>215.50514301701057</v>
      </c>
      <c r="AO148" s="62">
        <f t="shared" si="144"/>
        <v>273.18950868898253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25.098209226603682</v>
      </c>
      <c r="AV148" s="23">
        <f>EXP(-LN(2)/25)*AV147+(1-EXP(-LN(2)/25))/(LN(2)/25)*Calculateur!AQ148*Calculateur!AS148*VLOOKUP('Données projet'!$B$10,Paramètres!$A$1:$I$89,3,0)*0.475*44/12</f>
        <v>0.31119815686734781</v>
      </c>
      <c r="AW148" s="23">
        <f>EXP(-LN(2)/2)*AW147+(1-EXP(-LN(2)/2))/(LN(2)/2)*AQ148*AT148*VLOOKUP('Données projet'!$B$10,Paramètres!$A$1:$I$89,3,0)*0.475*44/12</f>
        <v>4.7087860690685184E-12</v>
      </c>
      <c r="AX148" s="23">
        <f t="shared" si="114"/>
        <v>25.409407383475738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-1.1368683772161603E-13</v>
      </c>
      <c r="BE148" s="14">
        <f>BD148*VLOOKUP('Données projet'!$B$11,Paramètres!$A$1:$I$89,3,0)*VLOOKUP('Données projet'!$B$11,Paramètres!$A$1:$I$89,5,0)</f>
        <v>-1.1527845344971866E-13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396.06968288200386</v>
      </c>
      <c r="BJ148" s="62">
        <f t="shared" si="146"/>
        <v>273.35778700650792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59.394426650460048</v>
      </c>
      <c r="BQ148" s="23">
        <f>EXP(-LN(2)/25)*BQ147+(1-EXP(-LN(2)/25))/(LN(2)/25)*Calculateur!BL148*Calculateur!BN148*VLOOKUP('Données projet'!$B$11,Paramètres!$A$1:$I$89,3,0)*0.475*44/12</f>
        <v>13.849411310400631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73.243837960860674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394.69391436029986</v>
      </c>
      <c r="T149" s="62">
        <f t="shared" si="142"/>
        <v>311.37245656657353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66.130219089721194</v>
      </c>
      <c r="AA149" s="23">
        <f>EXP(-LN(2)/25)*AA148+(1-EXP(-LN(2)/25))/(LN(2)/25)*Calculateur!V149*Calculateur!X149*VLOOKUP('Données projet'!$B$9,Paramètres!$A$1:$I$89,3,0)*0.475*44/12</f>
        <v>0.35822491856762229</v>
      </c>
      <c r="AB149" s="23">
        <f>EXP(-LN(2)/2)*AB148+(1-EXP(-LN(2)/2))/(LN(2)/2)*V149*Y149*VLOOKUP('Données projet'!$B$9,Paramètres!$A$1:$I$89,3,0)*0.475*44/12</f>
        <v>1.3468764374642008E-8</v>
      </c>
      <c r="AC149" s="24">
        <f t="shared" si="111"/>
        <v>66.488444021757587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5.6843418860808015E-14</v>
      </c>
      <c r="AJ149" s="14">
        <f>AI149*VLOOKUP('Données projet'!$B$10,Paramètres!$A$1:$I$89,3,0)*VLOOKUP('Données projet'!$B$10,Paramètres!$A$1:$I$89,5,0)</f>
        <v>2.6602720026858149E-14</v>
      </c>
      <c r="AK149" s="14">
        <f t="shared" si="143"/>
        <v>4.6624771586320878E-13</v>
      </c>
      <c r="AL149" s="22">
        <f t="shared" si="112"/>
        <v>8.583811758418665E-13</v>
      </c>
      <c r="AM149" s="62">
        <f t="shared" si="113"/>
        <v>286.2115453938315</v>
      </c>
      <c r="AN149" s="62">
        <f ca="1">AVERAGE(OFFSET($AM$3,0,0,'Données projet'!$E$10+1,1))-AVERAGE(OFFSET($H$3,0,0,'Données projet'!$E$10+1,1))</f>
        <v>215.50514301701057</v>
      </c>
      <c r="AO149" s="62">
        <f t="shared" si="144"/>
        <v>273.18950868898253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24.606048652066033</v>
      </c>
      <c r="AV149" s="23">
        <f>EXP(-LN(2)/25)*AV148+(1-EXP(-LN(2)/25))/(LN(2)/25)*Calculateur!AQ149*Calculateur!AS149*VLOOKUP('Données projet'!$B$10,Paramètres!$A$1:$I$89,3,0)*0.475*44/12</f>
        <v>0.30268842690261039</v>
      </c>
      <c r="AW149" s="23">
        <f>EXP(-LN(2)/2)*AW148+(1-EXP(-LN(2)/2))/(LN(2)/2)*AQ149*AT149*VLOOKUP('Données projet'!$B$10,Paramètres!$A$1:$I$89,3,0)*0.475*44/12</f>
        <v>3.3296145605950961E-12</v>
      </c>
      <c r="AX149" s="23">
        <f t="shared" si="114"/>
        <v>24.908737078971971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-1.1368683772161603E-13</v>
      </c>
      <c r="BE149" s="14">
        <f>BD149*VLOOKUP('Données projet'!$B$11,Paramètres!$A$1:$I$89,3,0)*VLOOKUP('Données projet'!$B$11,Paramètres!$A$1:$I$89,5,0)</f>
        <v>-1.1527845344971866E-13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396.06968288200386</v>
      </c>
      <c r="BJ149" s="62">
        <f t="shared" si="146"/>
        <v>273.35778700650792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58.229738170867662</v>
      </c>
      <c r="BQ149" s="23">
        <f>EXP(-LN(2)/25)*BQ148+(1-EXP(-LN(2)/25))/(LN(2)/25)*Calculateur!BL149*Calculateur!BN149*VLOOKUP('Données projet'!$B$11,Paramètres!$A$1:$I$89,3,0)*0.475*44/12</f>
        <v>13.470698429808838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71.700436600676497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394.69391436029986</v>
      </c>
      <c r="T150" s="62">
        <f t="shared" si="142"/>
        <v>311.37245656657353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64.833445828822605</v>
      </c>
      <c r="AA150" s="23">
        <f>EXP(-LN(2)/25)*AA149+(1-EXP(-LN(2)/25))/(LN(2)/25)*Calculateur!V150*Calculateur!X150*VLOOKUP('Données projet'!$B$9,Paramètres!$A$1:$I$89,3,0)*0.475*44/12</f>
        <v>0.34842923933116093</v>
      </c>
      <c r="AB150" s="23">
        <f>EXP(-LN(2)/2)*AB149+(1-EXP(-LN(2)/2))/(LN(2)/2)*V150*Y150*VLOOKUP('Données projet'!$B$9,Paramètres!$A$1:$I$89,3,0)*0.475*44/12</f>
        <v>9.523854623513153E-9</v>
      </c>
      <c r="AC150" s="24">
        <f t="shared" si="111"/>
        <v>65.181875077677631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5.6843418860808015E-14</v>
      </c>
      <c r="AJ150" s="14">
        <f>AI150*VLOOKUP('Données projet'!$B$10,Paramètres!$A$1:$I$89,3,0)*VLOOKUP('Données projet'!$B$10,Paramètres!$A$1:$I$89,5,0)</f>
        <v>2.6602720026858149E-14</v>
      </c>
      <c r="AK150" s="14">
        <f t="shared" si="143"/>
        <v>4.6624771586320878E-13</v>
      </c>
      <c r="AL150" s="22">
        <f t="shared" si="112"/>
        <v>8.583811758418665E-13</v>
      </c>
      <c r="AM150" s="62">
        <f t="shared" si="113"/>
        <v>286.33509249264927</v>
      </c>
      <c r="AN150" s="62">
        <f ca="1">AVERAGE(OFFSET($AM$3,0,0,'Données projet'!$E$10+1,1))-AVERAGE(OFFSET($H$3,0,0,'Données projet'!$E$10+1,1))</f>
        <v>215.50514301701057</v>
      </c>
      <c r="AO150" s="62">
        <f t="shared" si="144"/>
        <v>273.18950868898253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24.123539046206758</v>
      </c>
      <c r="AV150" s="23">
        <f>EXP(-LN(2)/25)*AV149+(1-EXP(-LN(2)/25))/(LN(2)/25)*Calculateur!AQ150*Calculateur!AS150*VLOOKUP('Données projet'!$B$10,Paramètres!$A$1:$I$89,3,0)*0.475*44/12</f>
        <v>0.29441139595126592</v>
      </c>
      <c r="AW150" s="23">
        <f>EXP(-LN(2)/2)*AW149+(1-EXP(-LN(2)/2))/(LN(2)/2)*AQ150*AT150*VLOOKUP('Données projet'!$B$10,Paramètres!$A$1:$I$89,3,0)*0.475*44/12</f>
        <v>2.3543930345342592E-12</v>
      </c>
      <c r="AX150" s="23">
        <f t="shared" si="114"/>
        <v>24.417950442160379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-1.1368683772161603E-13</v>
      </c>
      <c r="BE150" s="14">
        <f>BD150*VLOOKUP('Données projet'!$B$11,Paramètres!$A$1:$I$89,3,0)*VLOOKUP('Données projet'!$B$11,Paramètres!$A$1:$I$89,5,0)</f>
        <v>-1.1527845344971866E-13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396.06968288200386</v>
      </c>
      <c r="BJ150" s="62">
        <f t="shared" si="146"/>
        <v>273.35778700650792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57.087888521970257</v>
      </c>
      <c r="BQ150" s="23">
        <f>EXP(-LN(2)/25)*BQ149+(1-EXP(-LN(2)/25))/(LN(2)/25)*Calculateur!BL150*Calculateur!BN150*VLOOKUP('Données projet'!$B$11,Paramètres!$A$1:$I$89,3,0)*0.475*44/12</f>
        <v>13.102341472852473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70.19022999482273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394.69391436029986</v>
      </c>
      <c r="T151" s="62">
        <f t="shared" si="142"/>
        <v>311.37245656657353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63.562101500616656</v>
      </c>
      <c r="AA151" s="23">
        <f>EXP(-LN(2)/25)*AA150+(1-EXP(-LN(2)/25))/(LN(2)/25)*Calculateur!V151*Calculateur!X151*VLOOKUP('Données projet'!$B$9,Paramètres!$A$1:$I$89,3,0)*0.475*44/12</f>
        <v>0.33890142345855301</v>
      </c>
      <c r="AB151" s="23">
        <f>EXP(-LN(2)/2)*AB150+(1-EXP(-LN(2)/2))/(LN(2)/2)*V151*Y151*VLOOKUP('Données projet'!$B$9,Paramètres!$A$1:$I$89,3,0)*0.475*44/12</f>
        <v>6.734382187321004E-9</v>
      </c>
      <c r="AC151" s="24">
        <f t="shared" si="111"/>
        <v>63.901002930809589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5.6843418860808015E-14</v>
      </c>
      <c r="AJ151" s="14">
        <f>AI151*VLOOKUP('Données projet'!$B$10,Paramètres!$A$1:$I$89,3,0)*VLOOKUP('Données projet'!$B$10,Paramètres!$A$1:$I$89,5,0)</f>
        <v>2.6602720026858149E-14</v>
      </c>
      <c r="AK151" s="14">
        <f t="shared" si="143"/>
        <v>4.6624771586320878E-13</v>
      </c>
      <c r="AL151" s="22">
        <f t="shared" si="112"/>
        <v>8.583811758418665E-13</v>
      </c>
      <c r="AM151" s="62">
        <f t="shared" si="113"/>
        <v>286.45649632551255</v>
      </c>
      <c r="AN151" s="62">
        <f ca="1">AVERAGE(OFFSET($AM$3,0,0,'Données projet'!$E$10+1,1))-AVERAGE(OFFSET($H$3,0,0,'Données projet'!$E$10+1,1))</f>
        <v>215.50514301701057</v>
      </c>
      <c r="AO151" s="62">
        <f t="shared" si="144"/>
        <v>273.18950868898253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23.650491159416585</v>
      </c>
      <c r="AV151" s="23">
        <f>EXP(-LN(2)/25)*AV150+(1-EXP(-LN(2)/25))/(LN(2)/25)*Calculateur!AQ151*Calculateur!AS151*VLOOKUP('Données projet'!$B$10,Paramètres!$A$1:$I$89,3,0)*0.475*44/12</f>
        <v>0.28636070084655613</v>
      </c>
      <c r="AW151" s="23">
        <f>EXP(-LN(2)/2)*AW150+(1-EXP(-LN(2)/2))/(LN(2)/2)*AQ151*AT151*VLOOKUP('Données projet'!$B$10,Paramètres!$A$1:$I$89,3,0)*0.475*44/12</f>
        <v>1.6648072802975481E-12</v>
      </c>
      <c r="AX151" s="23">
        <f t="shared" si="114"/>
        <v>23.936851860264809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-1.1368683772161603E-13</v>
      </c>
      <c r="BE151" s="14">
        <f>BD151*VLOOKUP('Données projet'!$B$11,Paramètres!$A$1:$I$89,3,0)*VLOOKUP('Données projet'!$B$11,Paramètres!$A$1:$I$89,5,0)</f>
        <v>-1.1527845344971866E-13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396.06968288200386</v>
      </c>
      <c r="BJ151" s="62">
        <f t="shared" si="146"/>
        <v>273.35778700650792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55.968429848228212</v>
      </c>
      <c r="BQ151" s="23">
        <f>EXP(-LN(2)/25)*BQ150+(1-EXP(-LN(2)/25))/(LN(2)/25)*Calculateur!BL151*Calculateur!BN151*VLOOKUP('Données projet'!$B$11,Paramètres!$A$1:$I$89,3,0)*0.475*44/12</f>
        <v>12.744057256255129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68.712487104483344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394.69391436029986</v>
      </c>
      <c r="T152" s="62">
        <f t="shared" si="142"/>
        <v>311.37245656657353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62.31568745924335</v>
      </c>
      <c r="AA152" s="23">
        <f>EXP(-LN(2)/25)*AA151+(1-EXP(-LN(2)/25))/(LN(2)/25)*Calculateur!V152*Calculateur!X152*VLOOKUP('Données projet'!$B$9,Paramètres!$A$1:$I$89,3,0)*0.475*44/12</f>
        <v>0.32963414621202758</v>
      </c>
      <c r="AB152" s="23">
        <f>EXP(-LN(2)/2)*AB151+(1-EXP(-LN(2)/2))/(LN(2)/2)*V152*Y152*VLOOKUP('Données projet'!$B$9,Paramètres!$A$1:$I$89,3,0)*0.475*44/12</f>
        <v>4.7619273117565765E-9</v>
      </c>
      <c r="AC152" s="24">
        <f t="shared" si="111"/>
        <v>62.645321610217309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5.6843418860808015E-14</v>
      </c>
      <c r="AJ152" s="14">
        <f>AI152*VLOOKUP('Données projet'!$B$10,Paramètres!$A$1:$I$89,3,0)*VLOOKUP('Données projet'!$B$10,Paramètres!$A$1:$I$89,5,0)</f>
        <v>2.6602720026858149E-14</v>
      </c>
      <c r="AK152" s="14">
        <f t="shared" si="143"/>
        <v>4.6624771586320878E-13</v>
      </c>
      <c r="AL152" s="22">
        <f t="shared" si="112"/>
        <v>8.583811758418665E-13</v>
      </c>
      <c r="AM152" s="62">
        <f t="shared" si="113"/>
        <v>286.57579407329393</v>
      </c>
      <c r="AN152" s="62">
        <f ca="1">AVERAGE(OFFSET($AM$3,0,0,'Données projet'!$E$10+1,1))-AVERAGE(OFFSET($H$3,0,0,'Données projet'!$E$10+1,1))</f>
        <v>215.50514301701057</v>
      </c>
      <c r="AO152" s="62">
        <f t="shared" si="144"/>
        <v>273.18950868898253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23.186719453155646</v>
      </c>
      <c r="AV152" s="23">
        <f>EXP(-LN(2)/25)*AV151+(1-EXP(-LN(2)/25))/(LN(2)/25)*Calculateur!AQ152*Calculateur!AS152*VLOOKUP('Données projet'!$B$10,Paramètres!$A$1:$I$89,3,0)*0.475*44/12</f>
        <v>0.27853015242285228</v>
      </c>
      <c r="AW152" s="23">
        <f>EXP(-LN(2)/2)*AW151+(1-EXP(-LN(2)/2))/(LN(2)/2)*AQ152*AT152*VLOOKUP('Données projet'!$B$10,Paramètres!$A$1:$I$89,3,0)*0.475*44/12</f>
        <v>1.1771965172671296E-12</v>
      </c>
      <c r="AX152" s="23">
        <f t="shared" si="114"/>
        <v>23.465249605579675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-1.1368683772161603E-13</v>
      </c>
      <c r="BE152" s="14">
        <f>BD152*VLOOKUP('Données projet'!$B$11,Paramètres!$A$1:$I$89,3,0)*VLOOKUP('Données projet'!$B$11,Paramètres!$A$1:$I$89,5,0)</f>
        <v>-1.1527845344971866E-13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396.06968288200386</v>
      </c>
      <c r="BJ152" s="62">
        <f t="shared" si="146"/>
        <v>273.35778700650792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54.870923076275879</v>
      </c>
      <c r="BQ152" s="23">
        <f>EXP(-LN(2)/25)*BQ151+(1-EXP(-LN(2)/25))/(LN(2)/25)*Calculateur!BL152*Calculateur!BN152*VLOOKUP('Données projet'!$B$11,Paramètres!$A$1:$I$89,3,0)*0.475*44/12</f>
        <v>12.395570340401989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67.266493416677861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394.69391436029986</v>
      </c>
      <c r="T153" s="62">
        <f t="shared" si="142"/>
        <v>311.37245656657353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61.093714836983878</v>
      </c>
      <c r="AA153" s="23">
        <f>EXP(-LN(2)/25)*AA152+(1-EXP(-LN(2)/25))/(LN(2)/25)*Calculateur!V153*Calculateur!X153*VLOOKUP('Données projet'!$B$9,Paramètres!$A$1:$I$89,3,0)*0.475*44/12</f>
        <v>0.32062028314915331</v>
      </c>
      <c r="AB153" s="23">
        <f>EXP(-LN(2)/2)*AB152+(1-EXP(-LN(2)/2))/(LN(2)/2)*V153*Y153*VLOOKUP('Données projet'!$B$9,Paramètres!$A$1:$I$89,3,0)*0.475*44/12</f>
        <v>3.367191093660502E-9</v>
      </c>
      <c r="AC153" s="24">
        <f t="shared" si="111"/>
        <v>61.414335123500223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5.6843418860808015E-14</v>
      </c>
      <c r="AJ153" s="14">
        <f>AI153*VLOOKUP('Données projet'!$B$10,Paramètres!$A$1:$I$89,3,0)*VLOOKUP('Données projet'!$B$10,Paramètres!$A$1:$I$89,5,0)</f>
        <v>2.6602720026858149E-14</v>
      </c>
      <c r="AK153" s="14">
        <f t="shared" si="143"/>
        <v>4.6624771586320878E-13</v>
      </c>
      <c r="AL153" s="22">
        <f t="shared" si="112"/>
        <v>8.583811758418665E-13</v>
      </c>
      <c r="AM153" s="62">
        <f t="shared" si="113"/>
        <v>286.6930222718612</v>
      </c>
      <c r="AN153" s="62">
        <f ca="1">AVERAGE(OFFSET($AM$3,0,0,'Données projet'!$E$10+1,1))-AVERAGE(OFFSET($H$3,0,0,'Données projet'!$E$10+1,1))</f>
        <v>215.50514301701057</v>
      </c>
      <c r="AO153" s="62">
        <f t="shared" si="144"/>
        <v>273.18950868898253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22.732042027181674</v>
      </c>
      <c r="AV153" s="23">
        <f>EXP(-LN(2)/25)*AV152+(1-EXP(-LN(2)/25))/(LN(2)/25)*Calculateur!AQ153*Calculateur!AS153*VLOOKUP('Données projet'!$B$10,Paramètres!$A$1:$I$89,3,0)*0.475*44/12</f>
        <v>0.27091373075758524</v>
      </c>
      <c r="AW153" s="23">
        <f>EXP(-LN(2)/2)*AW152+(1-EXP(-LN(2)/2))/(LN(2)/2)*AQ153*AT153*VLOOKUP('Données projet'!$B$10,Paramètres!$A$1:$I$89,3,0)*0.475*44/12</f>
        <v>8.3240364014877404E-13</v>
      </c>
      <c r="AX153" s="23">
        <f t="shared" si="114"/>
        <v>23.002955757940089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-1.1368683772161603E-13</v>
      </c>
      <c r="BE153" s="14">
        <f>BD153*VLOOKUP('Données projet'!$B$11,Paramètres!$A$1:$I$89,3,0)*VLOOKUP('Données projet'!$B$11,Paramètres!$A$1:$I$89,5,0)</f>
        <v>-1.1527845344971866E-13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396.06968288200386</v>
      </c>
      <c r="BJ153" s="62">
        <f t="shared" si="146"/>
        <v>273.35778700650792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53.794937742708498</v>
      </c>
      <c r="BQ153" s="23">
        <f>EXP(-LN(2)/25)*BQ152+(1-EXP(-LN(2)/25))/(LN(2)/25)*Calculateur!BL153*Calculateur!BN153*VLOOKUP('Données projet'!$B$11,Paramètres!$A$1:$I$89,3,0)*0.475*44/12</f>
        <v>12.056612817588983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65.851550560297483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394.69391436029986</v>
      </c>
      <c r="T154" s="62">
        <f t="shared" si="142"/>
        <v>311.37245656657353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59.895704352517214</v>
      </c>
      <c r="AA154" s="23">
        <f>EXP(-LN(2)/25)*AA153+(1-EXP(-LN(2)/25))/(LN(2)/25)*Calculateur!V154*Calculateur!X154*VLOOKUP('Données projet'!$B$9,Paramètres!$A$1:$I$89,3,0)*0.475*44/12</f>
        <v>0.31185290464575183</v>
      </c>
      <c r="AB154" s="23">
        <f>EXP(-LN(2)/2)*AB153+(1-EXP(-LN(2)/2))/(LN(2)/2)*V154*Y154*VLOOKUP('Données projet'!$B$9,Paramètres!$A$1:$I$89,3,0)*0.475*44/12</f>
        <v>2.3809636558782882E-9</v>
      </c>
      <c r="AC154" s="24">
        <f t="shared" ref="AC154:AC203" si="163">SUM(Z154:AB154)</f>
        <v>60.207557259543933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5.6843418860808015E-14</v>
      </c>
      <c r="AJ154" s="14">
        <f>AI154*VLOOKUP('Données projet'!$B$10,Paramètres!$A$1:$I$89,3,0)*VLOOKUP('Données projet'!$B$10,Paramètres!$A$1:$I$89,5,0)</f>
        <v>2.6602720026858149E-14</v>
      </c>
      <c r="AK154" s="14">
        <f t="shared" ref="AK154:AK203" si="164">EXP(-1.0587+0.8836*LN(AJ154)+0.284)</f>
        <v>4.6624771586320878E-13</v>
      </c>
      <c r="AL154" s="22">
        <f t="shared" ref="AL154:AL203" si="165">(AJ154+AK154)*0.475*44/12</f>
        <v>8.583811758418665E-13</v>
      </c>
      <c r="AM154" s="62">
        <f t="shared" si="113"/>
        <v>286.80821682326621</v>
      </c>
      <c r="AN154" s="62">
        <f ca="1">AVERAGE(OFFSET($AM$3,0,0,'Données projet'!$E$10+1,1))-AVERAGE(OFFSET($H$3,0,0,'Données projet'!$E$10+1,1))</f>
        <v>215.50514301701057</v>
      </c>
      <c r="AO154" s="62">
        <f t="shared" si="144"/>
        <v>273.18950868898253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22.286280548205205</v>
      </c>
      <c r="AV154" s="23">
        <f>EXP(-LN(2)/25)*AV153+(1-EXP(-LN(2)/25))/(LN(2)/25)*Calculateur!AQ154*Calculateur!AS154*VLOOKUP('Données projet'!$B$10,Paramètres!$A$1:$I$89,3,0)*0.475*44/12</f>
        <v>0.26350558054328516</v>
      </c>
      <c r="AW154" s="23">
        <f>EXP(-LN(2)/2)*AW153+(1-EXP(-LN(2)/2))/(LN(2)/2)*AQ154*AT154*VLOOKUP('Données projet'!$B$10,Paramètres!$A$1:$I$89,3,0)*0.475*44/12</f>
        <v>5.885982586335648E-13</v>
      </c>
      <c r="AX154" s="23">
        <f t="shared" ref="AX154:AX203" si="166">SUM(AU154:AW154)</f>
        <v>22.54978612874908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-1.1368683772161603E-13</v>
      </c>
      <c r="BE154" s="14">
        <f>BD154*VLOOKUP('Données projet'!$B$11,Paramètres!$A$1:$I$89,3,0)*VLOOKUP('Données projet'!$B$11,Paramètres!$A$1:$I$89,5,0)</f>
        <v>-1.1527845344971866E-13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396.06968288200386</v>
      </c>
      <c r="BJ154" s="62">
        <f t="shared" si="146"/>
        <v>273.35778700650792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52.740051825246127</v>
      </c>
      <c r="BQ154" s="23">
        <f>EXP(-LN(2)/25)*BQ153+(1-EXP(-LN(2)/25))/(LN(2)/25)*Calculateur!BL154*Calculateur!BN154*VLOOKUP('Données projet'!$B$11,Paramètres!$A$1:$I$89,3,0)*0.475*44/12</f>
        <v>11.726924106062299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64.466975931308426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394.69391436029986</v>
      </c>
      <c r="T155" s="62">
        <f t="shared" si="142"/>
        <v>311.37245656657353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58.721186122936693</v>
      </c>
      <c r="AA155" s="23">
        <f>EXP(-LN(2)/25)*AA154+(1-EXP(-LN(2)/25))/(LN(2)/25)*Calculateur!V155*Calculateur!X155*VLOOKUP('Données projet'!$B$9,Paramètres!$A$1:$I$89,3,0)*0.475*44/12</f>
        <v>0.30332527056858222</v>
      </c>
      <c r="AB155" s="23">
        <f>EXP(-LN(2)/2)*AB154+(1-EXP(-LN(2)/2))/(LN(2)/2)*V155*Y155*VLOOKUP('Données projet'!$B$9,Paramètres!$A$1:$I$89,3,0)*0.475*44/12</f>
        <v>1.683595546830251E-9</v>
      </c>
      <c r="AC155" s="24">
        <f t="shared" si="163"/>
        <v>59.024511395188874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5.6843418860808015E-14</v>
      </c>
      <c r="AJ155" s="14">
        <f>AI155*VLOOKUP('Données projet'!$B$10,Paramètres!$A$1:$I$89,3,0)*VLOOKUP('Données projet'!$B$10,Paramètres!$A$1:$I$89,5,0)</f>
        <v>2.6602720026858149E-14</v>
      </c>
      <c r="AK155" s="14">
        <f t="shared" si="164"/>
        <v>4.6624771586320878E-13</v>
      </c>
      <c r="AL155" s="22">
        <f t="shared" si="165"/>
        <v>8.583811758418665E-13</v>
      </c>
      <c r="AM155" s="62">
        <f t="shared" si="113"/>
        <v>286.92141300674075</v>
      </c>
      <c r="AN155" s="62">
        <f ca="1">AVERAGE(OFFSET($AM$3,0,0,'Données projet'!$E$10+1,1))-AVERAGE(OFFSET($H$3,0,0,'Données projet'!$E$10+1,1))</f>
        <v>215.50514301701057</v>
      </c>
      <c r="AO155" s="62">
        <f t="shared" si="144"/>
        <v>273.18950868898253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21.849260179943808</v>
      </c>
      <c r="AV155" s="23">
        <f>EXP(-LN(2)/25)*AV154+(1-EXP(-LN(2)/25))/(LN(2)/25)*Calculateur!AQ155*Calculateur!AS155*VLOOKUP('Données projet'!$B$10,Paramètres!$A$1:$I$89,3,0)*0.475*44/12</f>
        <v>0.2563000065861728</v>
      </c>
      <c r="AW155" s="23">
        <f>EXP(-LN(2)/2)*AW154+(1-EXP(-LN(2)/2))/(LN(2)/2)*AQ155*AT155*VLOOKUP('Données projet'!$B$10,Paramètres!$A$1:$I$89,3,0)*0.475*44/12</f>
        <v>4.1620182007438702E-13</v>
      </c>
      <c r="AX155" s="23">
        <f t="shared" si="166"/>
        <v>22.105560186530397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-1.1368683772161603E-13</v>
      </c>
      <c r="BE155" s="14">
        <f>BD155*VLOOKUP('Données projet'!$B$11,Paramètres!$A$1:$I$89,3,0)*VLOOKUP('Données projet'!$B$11,Paramètres!$A$1:$I$89,5,0)</f>
        <v>-1.1527845344971866E-13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396.06968288200386</v>
      </c>
      <c r="BJ155" s="62">
        <f t="shared" si="146"/>
        <v>273.35778700650792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51.705851577208314</v>
      </c>
      <c r="BQ155" s="23">
        <f>EXP(-LN(2)/25)*BQ154+(1-EXP(-LN(2)/25))/(LN(2)/25)*Calculateur!BL155*Calculateur!BN155*VLOOKUP('Données projet'!$B$11,Paramètres!$A$1:$I$89,3,0)*0.475*44/12</f>
        <v>11.406250749689889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63.112102326898203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394.69391436029986</v>
      </c>
      <c r="T156" s="62">
        <f t="shared" si="142"/>
        <v>311.37245656657353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57.569699479452865</v>
      </c>
      <c r="AA156" s="23">
        <f>EXP(-LN(2)/25)*AA155+(1-EXP(-LN(2)/25))/(LN(2)/25)*Calculateur!V156*Calculateur!X156*VLOOKUP('Données projet'!$B$9,Paramètres!$A$1:$I$89,3,0)*0.475*44/12</f>
        <v>0.2950308250937016</v>
      </c>
      <c r="AB156" s="23">
        <f>EXP(-LN(2)/2)*AB155+(1-EXP(-LN(2)/2))/(LN(2)/2)*V156*Y156*VLOOKUP('Données projet'!$B$9,Paramètres!$A$1:$I$89,3,0)*0.475*44/12</f>
        <v>1.1904818279391441E-9</v>
      </c>
      <c r="AC156" s="24">
        <f t="shared" si="163"/>
        <v>57.864730305737048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5.6843418860808015E-14</v>
      </c>
      <c r="AJ156" s="14">
        <f>AI156*VLOOKUP('Données projet'!$B$10,Paramètres!$A$1:$I$89,3,0)*VLOOKUP('Données projet'!$B$10,Paramètres!$A$1:$I$89,5,0)</f>
        <v>2.6602720026858149E-14</v>
      </c>
      <c r="AK156" s="14">
        <f t="shared" si="164"/>
        <v>4.6624771586320878E-13</v>
      </c>
      <c r="AL156" s="22">
        <f t="shared" si="165"/>
        <v>8.583811758418665E-13</v>
      </c>
      <c r="AM156" s="62">
        <f t="shared" si="113"/>
        <v>287.03264548950085</v>
      </c>
      <c r="AN156" s="62">
        <f ca="1">AVERAGE(OFFSET($AM$3,0,0,'Données projet'!$E$10+1,1))-AVERAGE(OFFSET($H$3,0,0,'Données projet'!$E$10+1,1))</f>
        <v>215.50514301701057</v>
      </c>
      <c r="AO156" s="62">
        <f t="shared" si="144"/>
        <v>273.18950868898253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21.420809514547916</v>
      </c>
      <c r="AV156" s="23">
        <f>EXP(-LN(2)/25)*AV155+(1-EXP(-LN(2)/25))/(LN(2)/25)*Calculateur!AQ156*Calculateur!AS156*VLOOKUP('Données projet'!$B$10,Paramètres!$A$1:$I$89,3,0)*0.475*44/12</f>
        <v>0.24929146942784233</v>
      </c>
      <c r="AW156" s="23">
        <f>EXP(-LN(2)/2)*AW155+(1-EXP(-LN(2)/2))/(LN(2)/2)*AQ156*AT156*VLOOKUP('Données projet'!$B$10,Paramètres!$A$1:$I$89,3,0)*0.475*44/12</f>
        <v>2.942991293167824E-13</v>
      </c>
      <c r="AX156" s="23">
        <f t="shared" si="166"/>
        <v>21.670100983976052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-1.1368683772161603E-13</v>
      </c>
      <c r="BE156" s="14">
        <f>BD156*VLOOKUP('Données projet'!$B$11,Paramètres!$A$1:$I$89,3,0)*VLOOKUP('Données projet'!$B$11,Paramètres!$A$1:$I$89,5,0)</f>
        <v>-1.1527845344971866E-13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396.06968288200386</v>
      </c>
      <c r="BJ156" s="62">
        <f t="shared" si="146"/>
        <v>273.35778700650792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50.691931365234659</v>
      </c>
      <c r="BQ156" s="23">
        <f>EXP(-LN(2)/25)*BQ155+(1-EXP(-LN(2)/25))/(LN(2)/25)*Calculateur!BL156*Calculateur!BN156*VLOOKUP('Données projet'!$B$11,Paramètres!$A$1:$I$89,3,0)*0.475*44/12</f>
        <v>11.094346223110961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61.786277588345619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394.69391436029986</v>
      </c>
      <c r="T157" s="62">
        <f t="shared" si="142"/>
        <v>311.37245656657353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56.440792786710254</v>
      </c>
      <c r="AA157" s="23">
        <f>EXP(-LN(2)/25)*AA156+(1-EXP(-LN(2)/25))/(LN(2)/25)*Calculateur!V157*Calculateur!X157*VLOOKUP('Données projet'!$B$9,Paramètres!$A$1:$I$89,3,0)*0.475*44/12</f>
        <v>0.28696319166651751</v>
      </c>
      <c r="AB157" s="23">
        <f>EXP(-LN(2)/2)*AB156+(1-EXP(-LN(2)/2))/(LN(2)/2)*V157*Y157*VLOOKUP('Données projet'!$B$9,Paramètres!$A$1:$I$89,3,0)*0.475*44/12</f>
        <v>8.4179777341512551E-10</v>
      </c>
      <c r="AC157" s="24">
        <f t="shared" si="163"/>
        <v>56.727755979218571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5.6843418860808015E-14</v>
      </c>
      <c r="AJ157" s="14">
        <f>AI157*VLOOKUP('Données projet'!$B$10,Paramètres!$A$1:$I$89,3,0)*VLOOKUP('Données projet'!$B$10,Paramètres!$A$1:$I$89,5,0)</f>
        <v>2.6602720026858149E-14</v>
      </c>
      <c r="AK157" s="14">
        <f t="shared" si="164"/>
        <v>4.6624771586320878E-13</v>
      </c>
      <c r="AL157" s="22">
        <f t="shared" si="165"/>
        <v>8.583811758418665E-13</v>
      </c>
      <c r="AM157" s="62">
        <f t="shared" si="113"/>
        <v>287.1419483373636</v>
      </c>
      <c r="AN157" s="62">
        <f ca="1">AVERAGE(OFFSET($AM$3,0,0,'Données projet'!$E$10+1,1))-AVERAGE(OFFSET($H$3,0,0,'Données projet'!$E$10+1,1))</f>
        <v>215.50514301701057</v>
      </c>
      <c r="AO157" s="62">
        <f t="shared" si="144"/>
        <v>273.18950868898253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21.000760505371332</v>
      </c>
      <c r="AV157" s="23">
        <f>EXP(-LN(2)/25)*AV156+(1-EXP(-LN(2)/25))/(LN(2)/25)*Calculateur!AQ157*Calculateur!AS157*VLOOKUP('Données projet'!$B$10,Paramètres!$A$1:$I$89,3,0)*0.475*44/12</f>
        <v>0.24247458108666936</v>
      </c>
      <c r="AW157" s="23">
        <f>EXP(-LN(2)/2)*AW156+(1-EXP(-LN(2)/2))/(LN(2)/2)*AQ157*AT157*VLOOKUP('Données projet'!$B$10,Paramètres!$A$1:$I$89,3,0)*0.475*44/12</f>
        <v>2.0810091003719351E-13</v>
      </c>
      <c r="AX157" s="23">
        <f t="shared" si="166"/>
        <v>21.24323508645821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-1.1368683772161603E-13</v>
      </c>
      <c r="BE157" s="14">
        <f>BD157*VLOOKUP('Données projet'!$B$11,Paramètres!$A$1:$I$89,3,0)*VLOOKUP('Données projet'!$B$11,Paramètres!$A$1:$I$89,5,0)</f>
        <v>-1.1527845344971866E-13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396.06968288200386</v>
      </c>
      <c r="BJ157" s="62">
        <f t="shared" si="146"/>
        <v>273.35778700650792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49.697893510187541</v>
      </c>
      <c r="BQ157" s="23">
        <f>EXP(-LN(2)/25)*BQ156+(1-EXP(-LN(2)/25))/(LN(2)/25)*Calculateur!BL157*Calculateur!BN157*VLOOKUP('Données projet'!$B$11,Paramètres!$A$1:$I$89,3,0)*0.475*44/12</f>
        <v>10.79097074221368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60.488864252401221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394.69391436029986</v>
      </c>
      <c r="T158" s="62">
        <f t="shared" si="142"/>
        <v>311.37245656657353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55.334023265647232</v>
      </c>
      <c r="AA158" s="23">
        <f>EXP(-LN(2)/25)*AA157+(1-EXP(-LN(2)/25))/(LN(2)/25)*Calculateur!V158*Calculateur!X158*VLOOKUP('Données projet'!$B$9,Paramètres!$A$1:$I$89,3,0)*0.475*44/12</f>
        <v>0.27911616809965822</v>
      </c>
      <c r="AB158" s="23">
        <f>EXP(-LN(2)/2)*AB157+(1-EXP(-LN(2)/2))/(LN(2)/2)*V158*Y158*VLOOKUP('Données projet'!$B$9,Paramètres!$A$1:$I$89,3,0)*0.475*44/12</f>
        <v>5.9524091396957206E-10</v>
      </c>
      <c r="AC158" s="24">
        <f t="shared" si="163"/>
        <v>55.613139434342131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5.6843418860808015E-14</v>
      </c>
      <c r="AJ158" s="14">
        <f>AI158*VLOOKUP('Données projet'!$B$10,Paramètres!$A$1:$I$89,3,0)*VLOOKUP('Données projet'!$B$10,Paramètres!$A$1:$I$89,5,0)</f>
        <v>2.6602720026858149E-14</v>
      </c>
      <c r="AK158" s="14">
        <f t="shared" si="164"/>
        <v>4.6624771586320878E-13</v>
      </c>
      <c r="AL158" s="22">
        <f t="shared" si="165"/>
        <v>8.583811758418665E-13</v>
      </c>
      <c r="AM158" s="62">
        <f t="shared" si="113"/>
        <v>287.24935502518053</v>
      </c>
      <c r="AN158" s="62">
        <f ca="1">AVERAGE(OFFSET($AM$3,0,0,'Données projet'!$E$10+1,1))-AVERAGE(OFFSET($H$3,0,0,'Données projet'!$E$10+1,1))</f>
        <v>215.50514301701057</v>
      </c>
      <c r="AO158" s="62">
        <f t="shared" si="144"/>
        <v>273.18950868898253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20.588948401060104</v>
      </c>
      <c r="AV158" s="23">
        <f>EXP(-LN(2)/25)*AV157+(1-EXP(-LN(2)/25))/(LN(2)/25)*Calculateur!AQ158*Calculateur!AS158*VLOOKUP('Données projet'!$B$10,Paramètres!$A$1:$I$89,3,0)*0.475*44/12</f>
        <v>0.23584410091567035</v>
      </c>
      <c r="AW158" s="23">
        <f>EXP(-LN(2)/2)*AW157+(1-EXP(-LN(2)/2))/(LN(2)/2)*AQ158*AT158*VLOOKUP('Données projet'!$B$10,Paramètres!$A$1:$I$89,3,0)*0.475*44/12</f>
        <v>1.471495646583912E-13</v>
      </c>
      <c r="AX158" s="23">
        <f t="shared" si="166"/>
        <v>20.824792501975921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-1.1368683772161603E-13</v>
      </c>
      <c r="BE158" s="14">
        <f>BD158*VLOOKUP('Données projet'!$B$11,Paramètres!$A$1:$I$89,3,0)*VLOOKUP('Données projet'!$B$11,Paramètres!$A$1:$I$89,5,0)</f>
        <v>-1.1527845344971866E-13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396.06968288200386</v>
      </c>
      <c r="BJ158" s="62">
        <f t="shared" si="146"/>
        <v>273.35778700650792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48.723348131174674</v>
      </c>
      <c r="BQ158" s="23">
        <f>EXP(-LN(2)/25)*BQ157+(1-EXP(-LN(2)/25))/(LN(2)/25)*Calculateur!BL158*Calculateur!BN158*VLOOKUP('Données projet'!$B$11,Paramètres!$A$1:$I$89,3,0)*0.475*44/12</f>
        <v>10.49589107979536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59.219239210970031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394.69391436029986</v>
      </c>
      <c r="T159" s="62">
        <f t="shared" si="142"/>
        <v>311.37245656657353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54.248956819829502</v>
      </c>
      <c r="AA159" s="23">
        <f>EXP(-LN(2)/25)*AA158+(1-EXP(-LN(2)/25))/(LN(2)/25)*Calculateur!V159*Calculateur!X159*VLOOKUP('Données projet'!$B$9,Paramètres!$A$1:$I$89,3,0)*0.475*44/12</f>
        <v>0.27148372180489172</v>
      </c>
      <c r="AB159" s="23">
        <f>EXP(-LN(2)/2)*AB158+(1-EXP(-LN(2)/2))/(LN(2)/2)*V159*Y159*VLOOKUP('Données projet'!$B$9,Paramètres!$A$1:$I$89,3,0)*0.475*44/12</f>
        <v>4.2089888670756275E-10</v>
      </c>
      <c r="AC159" s="24">
        <f t="shared" si="163"/>
        <v>54.52044054205529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5.6843418860808015E-14</v>
      </c>
      <c r="AJ159" s="14">
        <f>AI159*VLOOKUP('Données projet'!$B$10,Paramètres!$A$1:$I$89,3,0)*VLOOKUP('Données projet'!$B$10,Paramètres!$A$1:$I$89,5,0)</f>
        <v>2.6602720026858149E-14</v>
      </c>
      <c r="AK159" s="14">
        <f t="shared" si="164"/>
        <v>4.6624771586320878E-13</v>
      </c>
      <c r="AL159" s="22">
        <f t="shared" si="165"/>
        <v>8.583811758418665E-13</v>
      </c>
      <c r="AM159" s="62">
        <f t="shared" si="113"/>
        <v>287.35489844708917</v>
      </c>
      <c r="AN159" s="62">
        <f ca="1">AVERAGE(OFFSET($AM$3,0,0,'Données projet'!$E$10+1,1))-AVERAGE(OFFSET($H$3,0,0,'Données projet'!$E$10+1,1))</f>
        <v>215.50514301701057</v>
      </c>
      <c r="AO159" s="62">
        <f t="shared" si="144"/>
        <v>273.18950868898253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20.18521168093384</v>
      </c>
      <c r="AV159" s="23">
        <f>EXP(-LN(2)/25)*AV158+(1-EXP(-LN(2)/25))/(LN(2)/25)*Calculateur!AQ159*Calculateur!AS159*VLOOKUP('Données projet'!$B$10,Paramètres!$A$1:$I$89,3,0)*0.475*44/12</f>
        <v>0.22939493157362911</v>
      </c>
      <c r="AW159" s="23">
        <f>EXP(-LN(2)/2)*AW158+(1-EXP(-LN(2)/2))/(LN(2)/2)*AQ159*AT159*VLOOKUP('Données projet'!$B$10,Paramètres!$A$1:$I$89,3,0)*0.475*44/12</f>
        <v>1.0405045501859675E-13</v>
      </c>
      <c r="AX159" s="23">
        <f t="shared" si="166"/>
        <v>20.414606612507573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-1.1368683772161603E-13</v>
      </c>
      <c r="BE159" s="14">
        <f>BD159*VLOOKUP('Données projet'!$B$11,Paramètres!$A$1:$I$89,3,0)*VLOOKUP('Données projet'!$B$11,Paramètres!$A$1:$I$89,5,0)</f>
        <v>-1.1527845344971866E-13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396.06968288200386</v>
      </c>
      <c r="BJ159" s="62">
        <f t="shared" si="146"/>
        <v>273.35778700650792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47.767912992630258</v>
      </c>
      <c r="BQ159" s="23">
        <f>EXP(-LN(2)/25)*BQ158+(1-EXP(-LN(2)/25))/(LN(2)/25)*Calculateur!BL159*Calculateur!BN159*VLOOKUP('Données projet'!$B$11,Paramètres!$A$1:$I$89,3,0)*0.475*44/12</f>
        <v>10.208880386263433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57.976793378893689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394.69391436029986</v>
      </c>
      <c r="T160" s="62">
        <f t="shared" si="142"/>
        <v>311.37245656657353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53.185167865189079</v>
      </c>
      <c r="AA160" s="23">
        <f>EXP(-LN(2)/25)*AA159+(1-EXP(-LN(2)/25))/(LN(2)/25)*Calculateur!V160*Calculateur!X160*VLOOKUP('Données projet'!$B$9,Paramètres!$A$1:$I$89,3,0)*0.475*44/12</f>
        <v>0.2640599851554285</v>
      </c>
      <c r="AB160" s="23">
        <f>EXP(-LN(2)/2)*AB159+(1-EXP(-LN(2)/2))/(LN(2)/2)*V160*Y160*VLOOKUP('Données projet'!$B$9,Paramètres!$A$1:$I$89,3,0)*0.475*44/12</f>
        <v>2.9762045698478603E-10</v>
      </c>
      <c r="AC160" s="24">
        <f t="shared" si="163"/>
        <v>53.449227850642124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5.6843418860808015E-14</v>
      </c>
      <c r="AJ160" s="14">
        <f>AI160*VLOOKUP('Données projet'!$B$10,Paramètres!$A$1:$I$89,3,0)*VLOOKUP('Données projet'!$B$10,Paramètres!$A$1:$I$89,5,0)</f>
        <v>2.6602720026858149E-14</v>
      </c>
      <c r="AK160" s="14">
        <f t="shared" si="164"/>
        <v>4.6624771586320878E-13</v>
      </c>
      <c r="AL160" s="22">
        <f t="shared" si="165"/>
        <v>8.583811758418665E-13</v>
      </c>
      <c r="AM160" s="62">
        <f t="shared" si="113"/>
        <v>287.45861092658743</v>
      </c>
      <c r="AN160" s="62">
        <f ca="1">AVERAGE(OFFSET($AM$3,0,0,'Données projet'!$E$10+1,1))-AVERAGE(OFFSET($H$3,0,0,'Données projet'!$E$10+1,1))</f>
        <v>215.50514301701057</v>
      </c>
      <c r="AO160" s="62">
        <f t="shared" si="144"/>
        <v>273.18950868898253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19.789391991634165</v>
      </c>
      <c r="AV160" s="23">
        <f>EXP(-LN(2)/25)*AV159+(1-EXP(-LN(2)/25))/(LN(2)/25)*Calculateur!AQ160*Calculateur!AS160*VLOOKUP('Données projet'!$B$10,Paramètres!$A$1:$I$89,3,0)*0.475*44/12</f>
        <v>0.22312211510639307</v>
      </c>
      <c r="AW160" s="23">
        <f>EXP(-LN(2)/2)*AW159+(1-EXP(-LN(2)/2))/(LN(2)/2)*AQ160*AT160*VLOOKUP('Données projet'!$B$10,Paramètres!$A$1:$I$89,3,0)*0.475*44/12</f>
        <v>7.35747823291956E-14</v>
      </c>
      <c r="AX160" s="23">
        <f t="shared" si="166"/>
        <v>20.012514106740632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-1.1368683772161603E-13</v>
      </c>
      <c r="BE160" s="14">
        <f>BD160*VLOOKUP('Données projet'!$B$11,Paramètres!$A$1:$I$89,3,0)*VLOOKUP('Données projet'!$B$11,Paramètres!$A$1:$I$89,5,0)</f>
        <v>-1.1527845344971866E-13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396.06968288200386</v>
      </c>
      <c r="BJ160" s="62">
        <f t="shared" si="146"/>
        <v>273.35778700650792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46.831213354394805</v>
      </c>
      <c r="BQ160" s="23">
        <f>EXP(-LN(2)/25)*BQ159+(1-EXP(-LN(2)/25))/(LN(2)/25)*Calculateur!BL160*Calculateur!BN160*VLOOKUP('Données projet'!$B$11,Paramètres!$A$1:$I$89,3,0)*0.475*44/12</f>
        <v>9.9297180152393718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56.760931369634179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394.69391436029986</v>
      </c>
      <c r="T161" s="62">
        <f t="shared" si="142"/>
        <v>311.37245656657353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52.142239163101962</v>
      </c>
      <c r="AA161" s="23">
        <f>EXP(-LN(2)/25)*AA160+(1-EXP(-LN(2)/25))/(LN(2)/25)*Calculateur!V161*Calculateur!X161*VLOOKUP('Données projet'!$B$9,Paramètres!$A$1:$I$89,3,0)*0.475*44/12</f>
        <v>0.25683925097504223</v>
      </c>
      <c r="AB161" s="23">
        <f>EXP(-LN(2)/2)*AB160+(1-EXP(-LN(2)/2))/(LN(2)/2)*V161*Y161*VLOOKUP('Données projet'!$B$9,Paramètres!$A$1:$I$89,3,0)*0.475*44/12</f>
        <v>2.1044944335378138E-10</v>
      </c>
      <c r="AC161" s="24">
        <f t="shared" si="163"/>
        <v>52.399078414287452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5.6843418860808015E-14</v>
      </c>
      <c r="AJ161" s="14">
        <f>AI161*VLOOKUP('Données projet'!$B$10,Paramètres!$A$1:$I$89,3,0)*VLOOKUP('Données projet'!$B$10,Paramètres!$A$1:$I$89,5,0)</f>
        <v>2.6602720026858149E-14</v>
      </c>
      <c r="AK161" s="14">
        <f t="shared" si="164"/>
        <v>4.6624771586320878E-13</v>
      </c>
      <c r="AL161" s="22">
        <f t="shared" si="165"/>
        <v>8.583811758418665E-13</v>
      </c>
      <c r="AM161" s="62">
        <f t="shared" si="113"/>
        <v>287.56052422643285</v>
      </c>
      <c r="AN161" s="62">
        <f ca="1">AVERAGE(OFFSET($AM$3,0,0,'Données projet'!$E$10+1,1))-AVERAGE(OFFSET($H$3,0,0,'Données projet'!$E$10+1,1))</f>
        <v>215.50514301701057</v>
      </c>
      <c r="AO161" s="62">
        <f t="shared" si="144"/>
        <v>273.18950868898253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19.401334085015488</v>
      </c>
      <c r="AV161" s="23">
        <f>EXP(-LN(2)/25)*AV160+(1-EXP(-LN(2)/25))/(LN(2)/25)*Calculateur!AQ161*Calculateur!AS161*VLOOKUP('Données projet'!$B$10,Paramètres!$A$1:$I$89,3,0)*0.475*44/12</f>
        <v>0.21702082913532666</v>
      </c>
      <c r="AW161" s="23">
        <f>EXP(-LN(2)/2)*AW160+(1-EXP(-LN(2)/2))/(LN(2)/2)*AQ161*AT161*VLOOKUP('Données projet'!$B$10,Paramètres!$A$1:$I$89,3,0)*0.475*44/12</f>
        <v>5.2025227509298377E-14</v>
      </c>
      <c r="AX161" s="23">
        <f t="shared" si="166"/>
        <v>19.618354914150867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-1.1368683772161603E-13</v>
      </c>
      <c r="BE161" s="14">
        <f>BD161*VLOOKUP('Données projet'!$B$11,Paramètres!$A$1:$I$89,3,0)*VLOOKUP('Données projet'!$B$11,Paramètres!$A$1:$I$89,5,0)</f>
        <v>-1.1527845344971866E-13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396.06968288200386</v>
      </c>
      <c r="BJ161" s="62">
        <f t="shared" si="146"/>
        <v>273.35778700650792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45.912881824734789</v>
      </c>
      <c r="BQ161" s="23">
        <f>EXP(-LN(2)/25)*BQ160+(1-EXP(-LN(2)/25))/(LN(2)/25)*Calculateur!BL161*Calculateur!BN161*VLOOKUP('Données projet'!$B$11,Paramètres!$A$1:$I$89,3,0)*0.475*44/12</f>
        <v>9.6581893539314763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55.571071178666266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394.69391436029986</v>
      </c>
      <c r="T162" s="62">
        <f t="shared" si="142"/>
        <v>311.37245656657353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51.119761656739072</v>
      </c>
      <c r="AA162" s="23">
        <f>EXP(-LN(2)/25)*AA161+(1-EXP(-LN(2)/25))/(LN(2)/25)*Calculateur!V162*Calculateur!X162*VLOOKUP('Données projet'!$B$9,Paramètres!$A$1:$I$89,3,0)*0.475*44/12</f>
        <v>0.2498159681505405</v>
      </c>
      <c r="AB162" s="23">
        <f>EXP(-LN(2)/2)*AB161+(1-EXP(-LN(2)/2))/(LN(2)/2)*V162*Y162*VLOOKUP('Données projet'!$B$9,Paramètres!$A$1:$I$89,3,0)*0.475*44/12</f>
        <v>1.4881022849239301E-10</v>
      </c>
      <c r="AC162" s="24">
        <f t="shared" si="163"/>
        <v>51.369577625038424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5.6843418860808015E-14</v>
      </c>
      <c r="AJ162" s="14">
        <f>AI162*VLOOKUP('Données projet'!$B$10,Paramètres!$A$1:$I$89,3,0)*VLOOKUP('Données projet'!$B$10,Paramètres!$A$1:$I$89,5,0)</f>
        <v>2.6602720026858149E-14</v>
      </c>
      <c r="AK162" s="14">
        <f t="shared" si="164"/>
        <v>4.6624771586320878E-13</v>
      </c>
      <c r="AL162" s="22">
        <f t="shared" si="165"/>
        <v>8.583811758418665E-13</v>
      </c>
      <c r="AM162" s="62">
        <f t="shared" si="113"/>
        <v>287.66066955836982</v>
      </c>
      <c r="AN162" s="62">
        <f ca="1">AVERAGE(OFFSET($AM$3,0,0,'Données projet'!$E$10+1,1))-AVERAGE(OFFSET($H$3,0,0,'Données projet'!$E$10+1,1))</f>
        <v>215.50514301701057</v>
      </c>
      <c r="AO162" s="62">
        <f t="shared" si="144"/>
        <v>273.18950868898253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19.020885757253652</v>
      </c>
      <c r="AV162" s="23">
        <f>EXP(-LN(2)/25)*AV161+(1-EXP(-LN(2)/25))/(LN(2)/25)*Calculateur!AQ162*Calculateur!AS162*VLOOKUP('Données projet'!$B$10,Paramètres!$A$1:$I$89,3,0)*0.475*44/12</f>
        <v>0.21108638314999176</v>
      </c>
      <c r="AW162" s="23">
        <f>EXP(-LN(2)/2)*AW161+(1-EXP(-LN(2)/2))/(LN(2)/2)*AQ162*AT162*VLOOKUP('Données projet'!$B$10,Paramètres!$A$1:$I$89,3,0)*0.475*44/12</f>
        <v>3.67873911645978E-14</v>
      </c>
      <c r="AX162" s="23">
        <f t="shared" si="166"/>
        <v>19.231972140403681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-1.1368683772161603E-13</v>
      </c>
      <c r="BE162" s="14">
        <f>BD162*VLOOKUP('Données projet'!$B$11,Paramètres!$A$1:$I$89,3,0)*VLOOKUP('Données projet'!$B$11,Paramètres!$A$1:$I$89,5,0)</f>
        <v>-1.1527845344971866E-13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396.06968288200386</v>
      </c>
      <c r="BJ162" s="62">
        <f t="shared" si="146"/>
        <v>273.35778700650792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45.012558216244479</v>
      </c>
      <c r="BQ162" s="23">
        <f>EXP(-LN(2)/25)*BQ161+(1-EXP(-LN(2)/25))/(LN(2)/25)*Calculateur!BL162*Calculateur!BN162*VLOOKUP('Données projet'!$B$11,Paramètres!$A$1:$I$89,3,0)*0.475*44/12</f>
        <v>9.3940856581461158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54.406643874390596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394.69391436029986</v>
      </c>
      <c r="T163" s="62">
        <f t="shared" si="142"/>
        <v>311.37245656657353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50.117334310626262</v>
      </c>
      <c r="AA163" s="23">
        <f>EXP(-LN(2)/25)*AA162+(1-EXP(-LN(2)/25))/(LN(2)/25)*Calculateur!V163*Calculateur!X163*VLOOKUP('Données projet'!$B$9,Paramètres!$A$1:$I$89,3,0)*0.475*44/12</f>
        <v>0.24298473736421317</v>
      </c>
      <c r="AB163" s="23">
        <f>EXP(-LN(2)/2)*AB162+(1-EXP(-LN(2)/2))/(LN(2)/2)*V163*Y163*VLOOKUP('Données projet'!$B$9,Paramètres!$A$1:$I$89,3,0)*0.475*44/12</f>
        <v>1.0522472167689069E-10</v>
      </c>
      <c r="AC163" s="24">
        <f t="shared" si="163"/>
        <v>50.360319048095697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5.6843418860808015E-14</v>
      </c>
      <c r="AJ163" s="14">
        <f>AI163*VLOOKUP('Données projet'!$B$10,Paramètres!$A$1:$I$89,3,0)*VLOOKUP('Données projet'!$B$10,Paramètres!$A$1:$I$89,5,0)</f>
        <v>2.6602720026858149E-14</v>
      </c>
      <c r="AK163" s="14">
        <f t="shared" si="164"/>
        <v>4.6624771586320878E-13</v>
      </c>
      <c r="AL163" s="22">
        <f t="shared" si="165"/>
        <v>8.583811758418665E-13</v>
      </c>
      <c r="AM163" s="62">
        <f t="shared" si="113"/>
        <v>287.75907759268921</v>
      </c>
      <c r="AN163" s="62">
        <f ca="1">AVERAGE(OFFSET($AM$3,0,0,'Données projet'!$E$10+1,1))-AVERAGE(OFFSET($H$3,0,0,'Données projet'!$E$10+1,1))</f>
        <v>215.50514301701057</v>
      </c>
      <c r="AO163" s="62">
        <f t="shared" si="144"/>
        <v>273.18950868898253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18.647897789148658</v>
      </c>
      <c r="AV163" s="23">
        <f>EXP(-LN(2)/25)*AV162+(1-EXP(-LN(2)/25))/(LN(2)/25)*Calculateur!AQ163*Calculateur!AS163*VLOOKUP('Données projet'!$B$10,Paramètres!$A$1:$I$89,3,0)*0.475*44/12</f>
        <v>0.20531421490220478</v>
      </c>
      <c r="AW163" s="23">
        <f>EXP(-LN(2)/2)*AW162+(1-EXP(-LN(2)/2))/(LN(2)/2)*AQ163*AT163*VLOOKUP('Données projet'!$B$10,Paramètres!$A$1:$I$89,3,0)*0.475*44/12</f>
        <v>2.6012613754649189E-14</v>
      </c>
      <c r="AX163" s="23">
        <f t="shared" si="166"/>
        <v>18.853212004050889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-1.1368683772161603E-13</v>
      </c>
      <c r="BE163" s="14">
        <f>BD163*VLOOKUP('Données projet'!$B$11,Paramètres!$A$1:$I$89,3,0)*VLOOKUP('Données projet'!$B$11,Paramètres!$A$1:$I$89,5,0)</f>
        <v>-1.1527845344971866E-13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396.06968288200386</v>
      </c>
      <c r="BJ163" s="62">
        <f t="shared" si="146"/>
        <v>273.35778700650792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44.129889404573483</v>
      </c>
      <c r="BQ163" s="23">
        <f>EXP(-LN(2)/25)*BQ162+(1-EXP(-LN(2)/25))/(LN(2)/25)*Calculateur!BL163*Calculateur!BN163*VLOOKUP('Données projet'!$B$11,Paramètres!$A$1:$I$89,3,0)*0.475*44/12</f>
        <v>9.137203891810616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53.267093296384097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394.69391436029986</v>
      </c>
      <c r="T164" s="62">
        <f t="shared" si="142"/>
        <v>311.37245656657353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49.134563953350415</v>
      </c>
      <c r="AA164" s="23">
        <f>EXP(-LN(2)/25)*AA163+(1-EXP(-LN(2)/25))/(LN(2)/25)*Calculateur!V164*Calculateur!X164*VLOOKUP('Données projet'!$B$9,Paramètres!$A$1:$I$89,3,0)*0.475*44/12</f>
        <v>0.23634030694297678</v>
      </c>
      <c r="AB164" s="23">
        <f>EXP(-LN(2)/2)*AB163+(1-EXP(-LN(2)/2))/(LN(2)/2)*V164*Y164*VLOOKUP('Données projet'!$B$9,Paramètres!$A$1:$I$89,3,0)*0.475*44/12</f>
        <v>7.4405114246196507E-11</v>
      </c>
      <c r="AC164" s="24">
        <f t="shared" si="163"/>
        <v>49.370904260367801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5.6843418860808015E-14</v>
      </c>
      <c r="AJ164" s="14">
        <f>AI164*VLOOKUP('Données projet'!$B$10,Paramètres!$A$1:$I$89,3,0)*VLOOKUP('Données projet'!$B$10,Paramètres!$A$1:$I$89,5,0)</f>
        <v>2.6602720026858149E-14</v>
      </c>
      <c r="AK164" s="14">
        <f t="shared" si="164"/>
        <v>4.6624771586320878E-13</v>
      </c>
      <c r="AL164" s="22">
        <f t="shared" si="165"/>
        <v>8.583811758418665E-13</v>
      </c>
      <c r="AM164" s="62">
        <f t="shared" si="113"/>
        <v>287.85577846762055</v>
      </c>
      <c r="AN164" s="62">
        <f ca="1">AVERAGE(OFFSET($AM$3,0,0,'Données projet'!$E$10+1,1))-AVERAGE(OFFSET($H$3,0,0,'Données projet'!$E$10+1,1))</f>
        <v>215.50514301701057</v>
      </c>
      <c r="AO164" s="62">
        <f t="shared" si="144"/>
        <v>273.18950868898253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18.282223887598004</v>
      </c>
      <c r="AV164" s="23">
        <f>EXP(-LN(2)/25)*AV163+(1-EXP(-LN(2)/25))/(LN(2)/25)*Calculateur!AQ164*Calculateur!AS164*VLOOKUP('Données projet'!$B$10,Paramètres!$A$1:$I$89,3,0)*0.475*44/12</f>
        <v>0.19969988689869869</v>
      </c>
      <c r="AW164" s="23">
        <f>EXP(-LN(2)/2)*AW163+(1-EXP(-LN(2)/2))/(LN(2)/2)*AQ164*AT164*VLOOKUP('Données projet'!$B$10,Paramètres!$A$1:$I$89,3,0)*0.475*44/12</f>
        <v>1.83936955822989E-14</v>
      </c>
      <c r="AX164" s="23">
        <f t="shared" si="166"/>
        <v>18.481923774496721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-1.1368683772161603E-13</v>
      </c>
      <c r="BE164" s="14">
        <f>BD164*VLOOKUP('Données projet'!$B$11,Paramètres!$A$1:$I$89,3,0)*VLOOKUP('Données projet'!$B$11,Paramètres!$A$1:$I$89,5,0)</f>
        <v>-1.1527845344971866E-13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396.06968288200386</v>
      </c>
      <c r="BJ164" s="62">
        <f t="shared" si="146"/>
        <v>273.35778700650792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43.264529189924545</v>
      </c>
      <c r="BQ164" s="23">
        <f>EXP(-LN(2)/25)*BQ163+(1-EXP(-LN(2)/25))/(LN(2)/25)*Calculateur!BL164*Calculateur!BN164*VLOOKUP('Données projet'!$B$11,Paramètres!$A$1:$I$89,3,0)*0.475*44/12</f>
        <v>8.887346570884386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52.151875760808935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394.69391436029986</v>
      </c>
      <c r="T165" s="62">
        <f t="shared" si="142"/>
        <v>311.37245656657353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48.171065123350019</v>
      </c>
      <c r="AA165" s="23">
        <f>EXP(-LN(2)/25)*AA164+(1-EXP(-LN(2)/25))/(LN(2)/25)*Calculateur!V165*Calculateur!X165*VLOOKUP('Données projet'!$B$9,Paramètres!$A$1:$I$89,3,0)*0.475*44/12</f>
        <v>0.2298775688210245</v>
      </c>
      <c r="AB165" s="23">
        <f>EXP(-LN(2)/2)*AB164+(1-EXP(-LN(2)/2))/(LN(2)/2)*V165*Y165*VLOOKUP('Données projet'!$B$9,Paramètres!$A$1:$I$89,3,0)*0.475*44/12</f>
        <v>5.2612360838445344E-11</v>
      </c>
      <c r="AC165" s="24">
        <f t="shared" si="163"/>
        <v>48.400942692223659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5.6843418860808015E-14</v>
      </c>
      <c r="AJ165" s="14">
        <f>AI165*VLOOKUP('Données projet'!$B$10,Paramètres!$A$1:$I$89,3,0)*VLOOKUP('Données projet'!$B$10,Paramètres!$A$1:$I$89,5,0)</f>
        <v>2.6602720026858149E-14</v>
      </c>
      <c r="AK165" s="14">
        <f t="shared" si="164"/>
        <v>4.6624771586320878E-13</v>
      </c>
      <c r="AL165" s="22">
        <f t="shared" si="165"/>
        <v>8.583811758418665E-13</v>
      </c>
      <c r="AM165" s="62">
        <f t="shared" si="113"/>
        <v>287.95080179856257</v>
      </c>
      <c r="AN165" s="62">
        <f ca="1">AVERAGE(OFFSET($AM$3,0,0,'Données projet'!$E$10+1,1))-AVERAGE(OFFSET($H$3,0,0,'Données projet'!$E$10+1,1))</f>
        <v>215.50514301701057</v>
      </c>
      <c r="AO165" s="62">
        <f t="shared" si="144"/>
        <v>273.18950868898253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17.923720628217705</v>
      </c>
      <c r="AV165" s="23">
        <f>EXP(-LN(2)/25)*AV164+(1-EXP(-LN(2)/25))/(LN(2)/25)*Calculateur!AQ165*Calculateur!AS165*VLOOKUP('Données projet'!$B$10,Paramètres!$A$1:$I$89,3,0)*0.475*44/12</f>
        <v>0.19423908298969314</v>
      </c>
      <c r="AW165" s="23">
        <f>EXP(-LN(2)/2)*AW164+(1-EXP(-LN(2)/2))/(LN(2)/2)*AQ165*AT165*VLOOKUP('Données projet'!$B$10,Paramètres!$A$1:$I$89,3,0)*0.475*44/12</f>
        <v>1.3006306877324594E-14</v>
      </c>
      <c r="AX165" s="23">
        <f t="shared" si="166"/>
        <v>18.117959711207412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-1.1368683772161603E-13</v>
      </c>
      <c r="BE165" s="14">
        <f>BD165*VLOOKUP('Données projet'!$B$11,Paramètres!$A$1:$I$89,3,0)*VLOOKUP('Données projet'!$B$11,Paramètres!$A$1:$I$89,5,0)</f>
        <v>-1.1527845344971866E-13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396.06968288200386</v>
      </c>
      <c r="BJ165" s="62">
        <f t="shared" si="146"/>
        <v>273.35778700650792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42.416138161267256</v>
      </c>
      <c r="BQ165" s="23">
        <f>EXP(-LN(2)/25)*BQ164+(1-EXP(-LN(2)/25))/(LN(2)/25)*Calculateur!BL165*Calculateur!BN165*VLOOKUP('Données projet'!$B$11,Paramètres!$A$1:$I$89,3,0)*0.475*44/12</f>
        <v>8.6443216115383077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51.060459772805565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394.69391436029986</v>
      </c>
      <c r="T166" s="62">
        <f t="shared" si="142"/>
        <v>311.37245656657353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47.22645991772967</v>
      </c>
      <c r="AA166" s="23">
        <f>EXP(-LN(2)/25)*AA165+(1-EXP(-LN(2)/25))/(LN(2)/25)*Calculateur!V166*Calculateur!X166*VLOOKUP('Données projet'!$B$9,Paramètres!$A$1:$I$89,3,0)*0.475*44/12</f>
        <v>0.22359155461287764</v>
      </c>
      <c r="AB166" s="23">
        <f>EXP(-LN(2)/2)*AB165+(1-EXP(-LN(2)/2))/(LN(2)/2)*V166*Y166*VLOOKUP('Données projet'!$B$9,Paramètres!$A$1:$I$89,3,0)*0.475*44/12</f>
        <v>3.7202557123098254E-11</v>
      </c>
      <c r="AC166" s="24">
        <f t="shared" si="163"/>
        <v>47.450051472379755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5.6843418860808015E-14</v>
      </c>
      <c r="AJ166" s="14">
        <f>AI166*VLOOKUP('Données projet'!$B$10,Paramètres!$A$1:$I$89,3,0)*VLOOKUP('Données projet'!$B$10,Paramètres!$A$1:$I$89,5,0)</f>
        <v>2.6602720026858149E-14</v>
      </c>
      <c r="AK166" s="14">
        <f t="shared" si="164"/>
        <v>4.6624771586320878E-13</v>
      </c>
      <c r="AL166" s="22">
        <f t="shared" si="165"/>
        <v>8.583811758418665E-13</v>
      </c>
      <c r="AM166" s="62">
        <f t="shared" si="113"/>
        <v>288.04417668715308</v>
      </c>
      <c r="AN166" s="62">
        <f ca="1">AVERAGE(OFFSET($AM$3,0,0,'Données projet'!$E$10+1,1))-AVERAGE(OFFSET($H$3,0,0,'Données projet'!$E$10+1,1))</f>
        <v>215.50514301701057</v>
      </c>
      <c r="AO166" s="62">
        <f t="shared" si="144"/>
        <v>273.18950868898253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17.572247399088454</v>
      </c>
      <c r="AV166" s="23">
        <f>EXP(-LN(2)/25)*AV165+(1-EXP(-LN(2)/25))/(LN(2)/25)*Calculateur!AQ166*Calculateur!AS166*VLOOKUP('Données projet'!$B$10,Paramètres!$A$1:$I$89,3,0)*0.475*44/12</f>
        <v>0.18892760505075054</v>
      </c>
      <c r="AW166" s="23">
        <f>EXP(-LN(2)/2)*AW165+(1-EXP(-LN(2)/2))/(LN(2)/2)*AQ166*AT166*VLOOKUP('Données projet'!$B$10,Paramètres!$A$1:$I$89,3,0)*0.475*44/12</f>
        <v>9.19684779114945E-15</v>
      </c>
      <c r="AX166" s="23">
        <f t="shared" si="166"/>
        <v>17.761175004139215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-1.1368683772161603E-13</v>
      </c>
      <c r="BE166" s="14">
        <f>BD166*VLOOKUP('Données projet'!$B$11,Paramètres!$A$1:$I$89,3,0)*VLOOKUP('Données projet'!$B$11,Paramètres!$A$1:$I$89,5,0)</f>
        <v>-1.1527845344971866E-13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396.06968288200386</v>
      </c>
      <c r="BJ166" s="62">
        <f t="shared" si="146"/>
        <v>273.35778700650792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41.584383563214509</v>
      </c>
      <c r="BQ166" s="23">
        <f>EXP(-LN(2)/25)*BQ165+(1-EXP(-LN(2)/25))/(LN(2)/25)*Calculateur!BL166*Calculateur!BN166*VLOOKUP('Données projet'!$B$11,Paramètres!$A$1:$I$89,3,0)*0.475*44/12</f>
        <v>8.4079421824856766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49.992325745700185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394.69391436029986</v>
      </c>
      <c r="T167" s="62">
        <f t="shared" si="142"/>
        <v>311.37245656657353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46.300377844039254</v>
      </c>
      <c r="AA167" s="23">
        <f>EXP(-LN(2)/25)*AA166+(1-EXP(-LN(2)/25))/(LN(2)/25)*Calculateur!V167*Calculateur!X167*VLOOKUP('Données projet'!$B$9,Paramètres!$A$1:$I$89,3,0)*0.475*44/12</f>
        <v>0.21747743179381968</v>
      </c>
      <c r="AB167" s="23">
        <f>EXP(-LN(2)/2)*AB166+(1-EXP(-LN(2)/2))/(LN(2)/2)*V167*Y167*VLOOKUP('Données projet'!$B$9,Paramètres!$A$1:$I$89,3,0)*0.475*44/12</f>
        <v>2.6306180419222672E-11</v>
      </c>
      <c r="AC167" s="24">
        <f t="shared" si="163"/>
        <v>46.517855275859375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5.6843418860808015E-14</v>
      </c>
      <c r="AJ167" s="14">
        <f>AI167*VLOOKUP('Données projet'!$B$10,Paramètres!$A$1:$I$89,3,0)*VLOOKUP('Données projet'!$B$10,Paramètres!$A$1:$I$89,5,0)</f>
        <v>2.6602720026858149E-14</v>
      </c>
      <c r="AK167" s="14">
        <f t="shared" si="164"/>
        <v>4.6624771586320878E-13</v>
      </c>
      <c r="AL167" s="22">
        <f t="shared" si="165"/>
        <v>8.583811758418665E-13</v>
      </c>
      <c r="AM167" s="62">
        <f t="shared" si="113"/>
        <v>288.13593173018154</v>
      </c>
      <c r="AN167" s="62">
        <f ca="1">AVERAGE(OFFSET($AM$3,0,0,'Données projet'!$E$10+1,1))-AVERAGE(OFFSET($H$3,0,0,'Données projet'!$E$10+1,1))</f>
        <v>215.50514301701057</v>
      </c>
      <c r="AO167" s="62">
        <f t="shared" si="144"/>
        <v>273.18950868898253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17.227666345604927</v>
      </c>
      <c r="AV167" s="23">
        <f>EXP(-LN(2)/25)*AV166+(1-EXP(-LN(2)/25))/(LN(2)/25)*Calculateur!AQ167*Calculateur!AS167*VLOOKUP('Données projet'!$B$10,Paramètres!$A$1:$I$89,3,0)*0.475*44/12</f>
        <v>0.1837613697553668</v>
      </c>
      <c r="AW167" s="23">
        <f>EXP(-LN(2)/2)*AW166+(1-EXP(-LN(2)/2))/(LN(2)/2)*AQ167*AT167*VLOOKUP('Données projet'!$B$10,Paramètres!$A$1:$I$89,3,0)*0.475*44/12</f>
        <v>6.5031534386622972E-15</v>
      </c>
      <c r="AX167" s="23">
        <f t="shared" si="166"/>
        <v>17.411427715360301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-1.1368683772161603E-13</v>
      </c>
      <c r="BE167" s="14">
        <f>BD167*VLOOKUP('Données projet'!$B$11,Paramètres!$A$1:$I$89,3,0)*VLOOKUP('Données projet'!$B$11,Paramètres!$A$1:$I$89,5,0)</f>
        <v>-1.1527845344971866E-13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396.06968288200386</v>
      </c>
      <c r="BJ167" s="62">
        <f t="shared" si="146"/>
        <v>273.35778700650792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40.768939165509359</v>
      </c>
      <c r="BQ167" s="23">
        <f>EXP(-LN(2)/25)*BQ166+(1-EXP(-LN(2)/25))/(LN(2)/25)*Calculateur!BL167*Calculateur!BN167*VLOOKUP('Données projet'!$B$11,Paramètres!$A$1:$I$89,3,0)*0.475*44/12</f>
        <v>8.1780265613511425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48.946965726860498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394.69391436029986</v>
      </c>
      <c r="T168" s="62">
        <f t="shared" si="142"/>
        <v>311.37245656657353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45.392455674959614</v>
      </c>
      <c r="AA168" s="23">
        <f>EXP(-LN(2)/25)*AA167+(1-EXP(-LN(2)/25))/(LN(2)/25)*Calculateur!V168*Calculateur!X168*VLOOKUP('Données projet'!$B$9,Paramètres!$A$1:$I$89,3,0)*0.475*44/12</f>
        <v>0.21153049998477658</v>
      </c>
      <c r="AB168" s="23">
        <f>EXP(-LN(2)/2)*AB167+(1-EXP(-LN(2)/2))/(LN(2)/2)*V168*Y168*VLOOKUP('Données projet'!$B$9,Paramètres!$A$1:$I$89,3,0)*0.475*44/12</f>
        <v>1.8601278561549127E-11</v>
      </c>
      <c r="AC168" s="24">
        <f t="shared" si="163"/>
        <v>45.603986174962991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5.6843418860808015E-14</v>
      </c>
      <c r="AJ168" s="14">
        <f>AI168*VLOOKUP('Données projet'!$B$10,Paramètres!$A$1:$I$89,3,0)*VLOOKUP('Données projet'!$B$10,Paramètres!$A$1:$I$89,5,0)</f>
        <v>2.6602720026858149E-14</v>
      </c>
      <c r="AK168" s="14">
        <f t="shared" si="164"/>
        <v>4.6624771586320878E-13</v>
      </c>
      <c r="AL168" s="22">
        <f t="shared" si="165"/>
        <v>8.583811758418665E-13</v>
      </c>
      <c r="AM168" s="62">
        <f t="shared" si="113"/>
        <v>288.226095028347</v>
      </c>
      <c r="AN168" s="62">
        <f ca="1">AVERAGE(OFFSET($AM$3,0,0,'Données projet'!$E$10+1,1))-AVERAGE(OFFSET($H$3,0,0,'Données projet'!$E$10+1,1))</f>
        <v>215.50514301701057</v>
      </c>
      <c r="AO168" s="62">
        <f t="shared" si="144"/>
        <v>273.18950868898253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16.889842316406522</v>
      </c>
      <c r="AV168" s="23">
        <f>EXP(-LN(2)/25)*AV167+(1-EXP(-LN(2)/25))/(LN(2)/25)*Calculateur!AQ168*Calculateur!AS168*VLOOKUP('Données projet'!$B$10,Paramètres!$A$1:$I$89,3,0)*0.475*44/12</f>
        <v>0.17873640543581584</v>
      </c>
      <c r="AW168" s="23">
        <f>EXP(-LN(2)/2)*AW167+(1-EXP(-LN(2)/2))/(LN(2)/2)*AQ168*AT168*VLOOKUP('Données projet'!$B$10,Paramètres!$A$1:$I$89,3,0)*0.475*44/12</f>
        <v>4.598423895574725E-15</v>
      </c>
      <c r="AX168" s="23">
        <f t="shared" si="166"/>
        <v>17.068578721842343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-1.1368683772161603E-13</v>
      </c>
      <c r="BE168" s="14">
        <f>BD168*VLOOKUP('Données projet'!$B$11,Paramètres!$A$1:$I$89,3,0)*VLOOKUP('Données projet'!$B$11,Paramètres!$A$1:$I$89,5,0)</f>
        <v>-1.1527845344971866E-13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396.06968288200386</v>
      </c>
      <c r="BJ168" s="62">
        <f t="shared" si="146"/>
        <v>273.35778700650792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39.969485135071238</v>
      </c>
      <c r="BQ168" s="23">
        <f>EXP(-LN(2)/25)*BQ167+(1-EXP(-LN(2)/25))/(LN(2)/25)*Calculateur!BL168*Calculateur!BN168*VLOOKUP('Données projet'!$B$11,Paramètres!$A$1:$I$89,3,0)*0.475*44/12</f>
        <v>7.9543979949672696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47.923883130038504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394.69391436029986</v>
      </c>
      <c r="T169" s="62">
        <f t="shared" si="142"/>
        <v>311.37245656657353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44.502337305837784</v>
      </c>
      <c r="AA169" s="23">
        <f>EXP(-LN(2)/25)*AA168+(1-EXP(-LN(2)/25))/(LN(2)/25)*Calculateur!V169*Calculateur!X169*VLOOKUP('Données projet'!$B$9,Paramètres!$A$1:$I$89,3,0)*0.475*44/12</f>
        <v>0.20574618733878733</v>
      </c>
      <c r="AB169" s="23">
        <f>EXP(-LN(2)/2)*AB168+(1-EXP(-LN(2)/2))/(LN(2)/2)*V169*Y169*VLOOKUP('Données projet'!$B$9,Paramètres!$A$1:$I$89,3,0)*0.475*44/12</f>
        <v>1.3153090209611336E-11</v>
      </c>
      <c r="AC169" s="24">
        <f t="shared" si="163"/>
        <v>44.708083493189726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5.6843418860808015E-14</v>
      </c>
      <c r="AJ169" s="14">
        <f>AI169*VLOOKUP('Données projet'!$B$10,Paramètres!$A$1:$I$89,3,0)*VLOOKUP('Données projet'!$B$10,Paramètres!$A$1:$I$89,5,0)</f>
        <v>2.6602720026858149E-14</v>
      </c>
      <c r="AK169" s="14">
        <f t="shared" si="164"/>
        <v>4.6624771586320878E-13</v>
      </c>
      <c r="AL169" s="22">
        <f t="shared" si="165"/>
        <v>8.583811758418665E-13</v>
      </c>
      <c r="AM169" s="62">
        <f t="shared" si="113"/>
        <v>288.31469419486427</v>
      </c>
      <c r="AN169" s="62">
        <f ca="1">AVERAGE(OFFSET($AM$3,0,0,'Données projet'!$E$10+1,1))-AVERAGE(OFFSET($H$3,0,0,'Données projet'!$E$10+1,1))</f>
        <v>215.50514301701057</v>
      </c>
      <c r="AO169" s="62">
        <f t="shared" si="144"/>
        <v>273.18950868898253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16.558642810368386</v>
      </c>
      <c r="AV169" s="23">
        <f>EXP(-LN(2)/25)*AV168+(1-EXP(-LN(2)/25))/(LN(2)/25)*Calculateur!AQ169*Calculateur!AS169*VLOOKUP('Données projet'!$B$10,Paramètres!$A$1:$I$89,3,0)*0.475*44/12</f>
        <v>0.17384884902983441</v>
      </c>
      <c r="AW169" s="23">
        <f>EXP(-LN(2)/2)*AW168+(1-EXP(-LN(2)/2))/(LN(2)/2)*AQ169*AT169*VLOOKUP('Données projet'!$B$10,Paramètres!$A$1:$I$89,3,0)*0.475*44/12</f>
        <v>3.2515767193311486E-15</v>
      </c>
      <c r="AX169" s="23">
        <f t="shared" si="166"/>
        <v>16.732491659398224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-1.1368683772161603E-13</v>
      </c>
      <c r="BE169" s="14">
        <f>BD169*VLOOKUP('Données projet'!$B$11,Paramètres!$A$1:$I$89,3,0)*VLOOKUP('Données projet'!$B$11,Paramètres!$A$1:$I$89,5,0)</f>
        <v>-1.1527845344971866E-13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396.06968288200386</v>
      </c>
      <c r="BJ169" s="62">
        <f t="shared" si="146"/>
        <v>273.35778700650792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39.185707910551201</v>
      </c>
      <c r="BQ169" s="23">
        <f>EXP(-LN(2)/25)*BQ168+(1-EXP(-LN(2)/25))/(LN(2)/25)*Calculateur!BL169*Calculateur!BN169*VLOOKUP('Données projet'!$B$11,Paramètres!$A$1:$I$89,3,0)*0.475*44/12</f>
        <v>7.7368845634912793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46.922592474042482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394.69391436029986</v>
      </c>
      <c r="T170" s="62">
        <f t="shared" si="142"/>
        <v>311.37245656657353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43.62967361501584</v>
      </c>
      <c r="AA170" s="23">
        <f>EXP(-LN(2)/25)*AA169+(1-EXP(-LN(2)/25))/(LN(2)/25)*Calculateur!V170*Calculateur!X170*VLOOKUP('Données projet'!$B$9,Paramètres!$A$1:$I$89,3,0)*0.475*44/12</f>
        <v>0.20012004702628644</v>
      </c>
      <c r="AB170" s="23">
        <f>EXP(-LN(2)/2)*AB169+(1-EXP(-LN(2)/2))/(LN(2)/2)*V170*Y170*VLOOKUP('Données projet'!$B$9,Paramètres!$A$1:$I$89,3,0)*0.475*44/12</f>
        <v>9.3006392807745634E-12</v>
      </c>
      <c r="AC170" s="24">
        <f t="shared" si="163"/>
        <v>43.829793662051429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5.6843418860808015E-14</v>
      </c>
      <c r="AJ170" s="14">
        <f>AI170*VLOOKUP('Données projet'!$B$10,Paramètres!$A$1:$I$89,3,0)*VLOOKUP('Données projet'!$B$10,Paramètres!$A$1:$I$89,5,0)</f>
        <v>2.6602720026858149E-14</v>
      </c>
      <c r="AK170" s="14">
        <f t="shared" si="164"/>
        <v>4.6624771586320878E-13</v>
      </c>
      <c r="AL170" s="22">
        <f t="shared" si="165"/>
        <v>8.583811758418665E-13</v>
      </c>
      <c r="AM170" s="62">
        <f t="shared" si="113"/>
        <v>288.40175636392047</v>
      </c>
      <c r="AN170" s="62">
        <f ca="1">AVERAGE(OFFSET($AM$3,0,0,'Données projet'!$E$10+1,1))-AVERAGE(OFFSET($H$3,0,0,'Données projet'!$E$10+1,1))</f>
        <v>215.50514301701057</v>
      </c>
      <c r="AO170" s="62">
        <f t="shared" si="144"/>
        <v>273.18950868898253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16.233937924631906</v>
      </c>
      <c r="AV170" s="23">
        <f>EXP(-LN(2)/25)*AV169+(1-EXP(-LN(2)/25))/(LN(2)/25)*Calculateur!AQ170*Calculateur!AS170*VLOOKUP('Données projet'!$B$10,Paramètres!$A$1:$I$89,3,0)*0.475*44/12</f>
        <v>0.16909494311079995</v>
      </c>
      <c r="AW170" s="23">
        <f>EXP(-LN(2)/2)*AW169+(1-EXP(-LN(2)/2))/(LN(2)/2)*AQ170*AT170*VLOOKUP('Données projet'!$B$10,Paramètres!$A$1:$I$89,3,0)*0.475*44/12</f>
        <v>2.2992119477873625E-15</v>
      </c>
      <c r="AX170" s="23">
        <f t="shared" si="166"/>
        <v>16.403032867742709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-1.1368683772161603E-13</v>
      </c>
      <c r="BE170" s="14">
        <f>BD170*VLOOKUP('Données projet'!$B$11,Paramètres!$A$1:$I$89,3,0)*VLOOKUP('Données projet'!$B$11,Paramètres!$A$1:$I$89,5,0)</f>
        <v>-1.1527845344971866E-13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396.06968288200386</v>
      </c>
      <c r="BJ170" s="62">
        <f t="shared" si="146"/>
        <v>273.35778700650792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38.4173000793471</v>
      </c>
      <c r="BQ170" s="23">
        <f>EXP(-LN(2)/25)*BQ169+(1-EXP(-LN(2)/25))/(LN(2)/25)*Calculateur!BL170*Calculateur!BN170*VLOOKUP('Données projet'!$B$11,Paramètres!$A$1:$I$89,3,0)*0.475*44/12</f>
        <v>7.5253190482375336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45.942619127584635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394.69391436029986</v>
      </c>
      <c r="T171" s="62">
        <f t="shared" si="142"/>
        <v>311.37245656657353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42.77412232689862</v>
      </c>
      <c r="AA171" s="23">
        <f>EXP(-LN(2)/25)*AA170+(1-EXP(-LN(2)/25))/(LN(2)/25)*Calculateur!V171*Calculateur!X171*VLOOKUP('Données projet'!$B$9,Paramètres!$A$1:$I$89,3,0)*0.475*44/12</f>
        <v>0.19464775381649674</v>
      </c>
      <c r="AB171" s="23">
        <f>EXP(-LN(2)/2)*AB170+(1-EXP(-LN(2)/2))/(LN(2)/2)*V171*Y171*VLOOKUP('Données projet'!$B$9,Paramètres!$A$1:$I$89,3,0)*0.475*44/12</f>
        <v>6.576545104805668E-12</v>
      </c>
      <c r="AC171" s="24">
        <f t="shared" si="163"/>
        <v>42.968770080721697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5.6843418860808015E-14</v>
      </c>
      <c r="AJ171" s="14">
        <f>AI171*VLOOKUP('Données projet'!$B$10,Paramètres!$A$1:$I$89,3,0)*VLOOKUP('Données projet'!$B$10,Paramètres!$A$1:$I$89,5,0)</f>
        <v>2.6602720026858149E-14</v>
      </c>
      <c r="AK171" s="14">
        <f t="shared" si="164"/>
        <v>4.6624771586320878E-13</v>
      </c>
      <c r="AL171" s="22">
        <f t="shared" si="165"/>
        <v>8.583811758418665E-13</v>
      </c>
      <c r="AM171" s="62">
        <f t="shared" si="113"/>
        <v>288.48730819898537</v>
      </c>
      <c r="AN171" s="62">
        <f ca="1">AVERAGE(OFFSET($AM$3,0,0,'Données projet'!$E$10+1,1))-AVERAGE(OFFSET($H$3,0,0,'Données projet'!$E$10+1,1))</f>
        <v>215.50514301701057</v>
      </c>
      <c r="AO171" s="62">
        <f t="shared" si="144"/>
        <v>273.18950868898253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15.915600303654294</v>
      </c>
      <c r="AV171" s="23">
        <f>EXP(-LN(2)/25)*AV170+(1-EXP(-LN(2)/25))/(LN(2)/25)*Calculateur!AQ171*Calculateur!AS171*VLOOKUP('Données projet'!$B$10,Paramètres!$A$1:$I$89,3,0)*0.475*44/12</f>
        <v>0.16447103299911853</v>
      </c>
      <c r="AW171" s="23">
        <f>EXP(-LN(2)/2)*AW170+(1-EXP(-LN(2)/2))/(LN(2)/2)*AQ171*AT171*VLOOKUP('Données projet'!$B$10,Paramètres!$A$1:$I$89,3,0)*0.475*44/12</f>
        <v>1.6257883596655743E-15</v>
      </c>
      <c r="AX171" s="23">
        <f t="shared" si="166"/>
        <v>16.080071336653411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-1.1368683772161603E-13</v>
      </c>
      <c r="BE171" s="14">
        <f>BD171*VLOOKUP('Données projet'!$B$11,Paramètres!$A$1:$I$89,3,0)*VLOOKUP('Données projet'!$B$11,Paramètres!$A$1:$I$89,5,0)</f>
        <v>-1.1527845344971866E-13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396.06968288200386</v>
      </c>
      <c r="BJ171" s="62">
        <f t="shared" si="146"/>
        <v>273.35778700650792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37.663960257030411</v>
      </c>
      <c r="BQ171" s="23">
        <f>EXP(-LN(2)/25)*BQ170+(1-EXP(-LN(2)/25))/(LN(2)/25)*Calculateur!BL171*Calculateur!BN171*VLOOKUP('Données projet'!$B$11,Paramètres!$A$1:$I$89,3,0)*0.475*44/12</f>
        <v>7.3195388031241491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44.983499060154557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394.69391436029986</v>
      </c>
      <c r="T172" s="62">
        <f t="shared" si="142"/>
        <v>311.37245656657353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41.935347877706619</v>
      </c>
      <c r="AA172" s="23">
        <f>EXP(-LN(2)/25)*AA171+(1-EXP(-LN(2)/25))/(LN(2)/25)*Calculateur!V172*Calculateur!X172*VLOOKUP('Données projet'!$B$9,Paramètres!$A$1:$I$89,3,0)*0.475*44/12</f>
        <v>0.18932510075230413</v>
      </c>
      <c r="AB172" s="23">
        <f>EXP(-LN(2)/2)*AB171+(1-EXP(-LN(2)/2))/(LN(2)/2)*V172*Y172*VLOOKUP('Données projet'!$B$9,Paramètres!$A$1:$I$89,3,0)*0.475*44/12</f>
        <v>4.6503196403872817E-12</v>
      </c>
      <c r="AC172" s="24">
        <f t="shared" si="163"/>
        <v>42.124672978463572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5.6843418860808015E-14</v>
      </c>
      <c r="AJ172" s="14">
        <f>AI172*VLOOKUP('Données projet'!$B$10,Paramètres!$A$1:$I$89,3,0)*VLOOKUP('Données projet'!$B$10,Paramètres!$A$1:$I$89,5,0)</f>
        <v>2.6602720026858149E-14</v>
      </c>
      <c r="AK172" s="14">
        <f t="shared" si="164"/>
        <v>4.6624771586320878E-13</v>
      </c>
      <c r="AL172" s="22">
        <f t="shared" si="165"/>
        <v>8.583811758418665E-13</v>
      </c>
      <c r="AM172" s="62">
        <f t="shared" si="113"/>
        <v>288.57137590097727</v>
      </c>
      <c r="AN172" s="62">
        <f ca="1">AVERAGE(OFFSET($AM$3,0,0,'Données projet'!$E$10+1,1))-AVERAGE(OFFSET($H$3,0,0,'Données projet'!$E$10+1,1))</f>
        <v>215.50514301701057</v>
      </c>
      <c r="AO172" s="62">
        <f t="shared" si="144"/>
        <v>273.18950868898253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15.603505089257277</v>
      </c>
      <c r="AV172" s="23">
        <f>EXP(-LN(2)/25)*AV171+(1-EXP(-LN(2)/25))/(LN(2)/25)*Calculateur!AQ172*Calculateur!AS172*VLOOKUP('Données projet'!$B$10,Paramètres!$A$1:$I$89,3,0)*0.475*44/12</f>
        <v>0.1599735639526019</v>
      </c>
      <c r="AW172" s="23">
        <f>EXP(-LN(2)/2)*AW171+(1-EXP(-LN(2)/2))/(LN(2)/2)*AQ172*AT172*VLOOKUP('Données projet'!$B$10,Paramètres!$A$1:$I$89,3,0)*0.475*44/12</f>
        <v>1.1496059738936812E-15</v>
      </c>
      <c r="AX172" s="23">
        <f t="shared" si="166"/>
        <v>15.763478653209882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-1.1368683772161603E-13</v>
      </c>
      <c r="BE172" s="14">
        <f>BD172*VLOOKUP('Données projet'!$B$11,Paramètres!$A$1:$I$89,3,0)*VLOOKUP('Données projet'!$B$11,Paramètres!$A$1:$I$89,5,0)</f>
        <v>-1.1527845344971866E-13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396.06968288200386</v>
      </c>
      <c r="BJ172" s="62">
        <f t="shared" si="146"/>
        <v>273.35778700650792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36.925392969137434</v>
      </c>
      <c r="BQ172" s="23">
        <f>EXP(-LN(2)/25)*BQ171+(1-EXP(-LN(2)/25))/(LN(2)/25)*Calculateur!BL172*Calculateur!BN172*VLOOKUP('Données projet'!$B$11,Paramètres!$A$1:$I$89,3,0)*0.475*44/12</f>
        <v>7.1193856296349027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44.044778598772339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394.69391436029986</v>
      </c>
      <c r="T173" s="62">
        <f t="shared" si="142"/>
        <v>311.37245656657353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41.113021283861379</v>
      </c>
      <c r="AA173" s="23">
        <f>EXP(-LN(2)/25)*AA172+(1-EXP(-LN(2)/25))/(LN(2)/25)*Calculateur!V173*Calculateur!X173*VLOOKUP('Données projet'!$B$9,Paramètres!$A$1:$I$89,3,0)*0.475*44/12</f>
        <v>0.18414799591605804</v>
      </c>
      <c r="AB173" s="23">
        <f>EXP(-LN(2)/2)*AB172+(1-EXP(-LN(2)/2))/(LN(2)/2)*V173*Y173*VLOOKUP('Données projet'!$B$9,Paramètres!$A$1:$I$89,3,0)*0.475*44/12</f>
        <v>3.288272552402834E-12</v>
      </c>
      <c r="AC173" s="24">
        <f t="shared" si="163"/>
        <v>41.297169279780725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5.6843418860808015E-14</v>
      </c>
      <c r="AJ173" s="14">
        <f>AI173*VLOOKUP('Données projet'!$B$10,Paramètres!$A$1:$I$89,3,0)*VLOOKUP('Données projet'!$B$10,Paramètres!$A$1:$I$89,5,0)</f>
        <v>2.6602720026858149E-14</v>
      </c>
      <c r="AK173" s="14">
        <f t="shared" si="164"/>
        <v>4.6624771586320878E-13</v>
      </c>
      <c r="AL173" s="22">
        <f t="shared" si="165"/>
        <v>8.583811758418665E-13</v>
      </c>
      <c r="AM173" s="62">
        <f t="shared" si="113"/>
        <v>288.65398521628674</v>
      </c>
      <c r="AN173" s="62">
        <f ca="1">AVERAGE(OFFSET($AM$3,0,0,'Données projet'!$E$10+1,1))-AVERAGE(OFFSET($H$3,0,0,'Données projet'!$E$10+1,1))</f>
        <v>215.50514301701057</v>
      </c>
      <c r="AO173" s="62">
        <f t="shared" si="144"/>
        <v>273.18950868898253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15.297529871655302</v>
      </c>
      <c r="AV173" s="23">
        <f>EXP(-LN(2)/25)*AV172+(1-EXP(-LN(2)/25))/(LN(2)/25)*Calculateur!AQ173*Calculateur!AS173*VLOOKUP('Données projet'!$B$10,Paramètres!$A$1:$I$89,3,0)*0.475*44/12</f>
        <v>0.1555990784336739</v>
      </c>
      <c r="AW173" s="23">
        <f>EXP(-LN(2)/2)*AW172+(1-EXP(-LN(2)/2))/(LN(2)/2)*AQ173*AT173*VLOOKUP('Données projet'!$B$10,Paramètres!$A$1:$I$89,3,0)*0.475*44/12</f>
        <v>8.1289417983278714E-16</v>
      </c>
      <c r="AX173" s="23">
        <f t="shared" si="166"/>
        <v>15.453128950088976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-1.1368683772161603E-13</v>
      </c>
      <c r="BE173" s="14">
        <f>BD173*VLOOKUP('Données projet'!$B$11,Paramètres!$A$1:$I$89,3,0)*VLOOKUP('Données projet'!$B$11,Paramètres!$A$1:$I$89,5,0)</f>
        <v>-1.1527845344971866E-13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396.06968288200386</v>
      </c>
      <c r="BJ173" s="62">
        <f t="shared" si="146"/>
        <v>273.35778700650792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36.201308535278471</v>
      </c>
      <c r="BQ173" s="23">
        <f>EXP(-LN(2)/25)*BQ172+(1-EXP(-LN(2)/25))/(LN(2)/25)*Calculateur!BL173*Calculateur!BN173*VLOOKUP('Données projet'!$B$11,Paramètres!$A$1:$I$89,3,0)*0.475*44/12</f>
        <v>6.9247056552003174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43.126014190478791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394.69391436029986</v>
      </c>
      <c r="T174" s="62">
        <f t="shared" si="142"/>
        <v>311.37245656657353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40.306820012951746</v>
      </c>
      <c r="AA174" s="23">
        <f>EXP(-LN(2)/25)*AA173+(1-EXP(-LN(2)/25))/(LN(2)/25)*Calculateur!V174*Calculateur!X174*VLOOKUP('Données projet'!$B$9,Paramètres!$A$1:$I$89,3,0)*0.475*44/12</f>
        <v>0.1791124592838112</v>
      </c>
      <c r="AB174" s="23">
        <f>EXP(-LN(2)/2)*AB173+(1-EXP(-LN(2)/2))/(LN(2)/2)*V174*Y174*VLOOKUP('Données projet'!$B$9,Paramètres!$A$1:$I$89,3,0)*0.475*44/12</f>
        <v>2.3251598201936409E-12</v>
      </c>
      <c r="AC174" s="24">
        <f t="shared" si="163"/>
        <v>40.485932472237884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5.6843418860808015E-14</v>
      </c>
      <c r="AJ174" s="14">
        <f>AI174*VLOOKUP('Données projet'!$B$10,Paramètres!$A$1:$I$89,3,0)*VLOOKUP('Données projet'!$B$10,Paramètres!$A$1:$I$89,5,0)</f>
        <v>2.6602720026858149E-14</v>
      </c>
      <c r="AK174" s="14">
        <f t="shared" si="164"/>
        <v>4.6624771586320878E-13</v>
      </c>
      <c r="AL174" s="22">
        <f t="shared" si="165"/>
        <v>8.583811758418665E-13</v>
      </c>
      <c r="AM174" s="62">
        <f t="shared" si="113"/>
        <v>288.73516144466237</v>
      </c>
      <c r="AN174" s="62">
        <f ca="1">AVERAGE(OFFSET($AM$3,0,0,'Données projet'!$E$10+1,1))-AVERAGE(OFFSET($H$3,0,0,'Données projet'!$E$10+1,1))</f>
        <v>215.50514301701057</v>
      </c>
      <c r="AO174" s="62">
        <f t="shared" si="144"/>
        <v>273.18950868898253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14.997554641444045</v>
      </c>
      <c r="AV174" s="23">
        <f>EXP(-LN(2)/25)*AV173+(1-EXP(-LN(2)/25))/(LN(2)/25)*Calculateur!AQ174*Calculateur!AS174*VLOOKUP('Données projet'!$B$10,Paramètres!$A$1:$I$89,3,0)*0.475*44/12</f>
        <v>0.15134421345130519</v>
      </c>
      <c r="AW174" s="23">
        <f>EXP(-LN(2)/2)*AW173+(1-EXP(-LN(2)/2))/(LN(2)/2)*AQ174*AT174*VLOOKUP('Données projet'!$B$10,Paramètres!$A$1:$I$89,3,0)*0.475*44/12</f>
        <v>5.7480298694684062E-16</v>
      </c>
      <c r="AX174" s="23">
        <f t="shared" si="166"/>
        <v>15.14889885489535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-1.1368683772161603E-13</v>
      </c>
      <c r="BE174" s="14">
        <f>BD174*VLOOKUP('Données projet'!$B$11,Paramètres!$A$1:$I$89,3,0)*VLOOKUP('Données projet'!$B$11,Paramètres!$A$1:$I$89,5,0)</f>
        <v>-1.1527845344971866E-13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396.06968288200386</v>
      </c>
      <c r="BJ174" s="62">
        <f t="shared" si="146"/>
        <v>273.35778700650792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35.491422955519589</v>
      </c>
      <c r="BQ174" s="23">
        <f>EXP(-LN(2)/25)*BQ173+(1-EXP(-LN(2)/25))/(LN(2)/25)*Calculateur!BL174*Calculateur!BN174*VLOOKUP('Données projet'!$B$11,Paramètres!$A$1:$I$89,3,0)*0.475*44/12</f>
        <v>6.7353492149044207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42.226772170424013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394.69391436029986</v>
      </c>
      <c r="T175" s="62">
        <f t="shared" si="142"/>
        <v>311.37245656657353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39.516427857230433</v>
      </c>
      <c r="AA175" s="23">
        <f>EXP(-LN(2)/25)*AA174+(1-EXP(-LN(2)/25))/(LN(2)/25)*Calculateur!V175*Calculateur!X175*VLOOKUP('Données projet'!$B$9,Paramètres!$A$1:$I$89,3,0)*0.475*44/12</f>
        <v>0.17421461966558052</v>
      </c>
      <c r="AB175" s="23">
        <f>EXP(-LN(2)/2)*AB174+(1-EXP(-LN(2)/2))/(LN(2)/2)*V175*Y175*VLOOKUP('Données projet'!$B$9,Paramètres!$A$1:$I$89,3,0)*0.475*44/12</f>
        <v>1.644136276201417E-12</v>
      </c>
      <c r="AC175" s="24">
        <f t="shared" si="163"/>
        <v>39.690642476897658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5.6843418860808015E-14</v>
      </c>
      <c r="AJ175" s="14">
        <f>AI175*VLOOKUP('Données projet'!$B$10,Paramètres!$A$1:$I$89,3,0)*VLOOKUP('Données projet'!$B$10,Paramètres!$A$1:$I$89,5,0)</f>
        <v>2.6602720026858149E-14</v>
      </c>
      <c r="AK175" s="14">
        <f t="shared" si="164"/>
        <v>4.6624771586320878E-13</v>
      </c>
      <c r="AL175" s="22">
        <f t="shared" si="165"/>
        <v>8.583811758418665E-13</v>
      </c>
      <c r="AM175" s="62">
        <f t="shared" si="113"/>
        <v>288.8149294469585</v>
      </c>
      <c r="AN175" s="62">
        <f ca="1">AVERAGE(OFFSET($AM$3,0,0,'Données projet'!$E$10+1,1))-AVERAGE(OFFSET($H$3,0,0,'Données projet'!$E$10+1,1))</f>
        <v>215.50514301701057</v>
      </c>
      <c r="AO175" s="62">
        <f t="shared" si="144"/>
        <v>273.18950868898253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14.703461742530408</v>
      </c>
      <c r="AV175" s="23">
        <f>EXP(-LN(2)/25)*AV174+(1-EXP(-LN(2)/25))/(LN(2)/25)*Calculateur!AQ175*Calculateur!AS175*VLOOKUP('Données projet'!$B$10,Paramètres!$A$1:$I$89,3,0)*0.475*44/12</f>
        <v>0.14720569797563296</v>
      </c>
      <c r="AW175" s="23">
        <f>EXP(-LN(2)/2)*AW174+(1-EXP(-LN(2)/2))/(LN(2)/2)*AQ175*AT175*VLOOKUP('Données projet'!$B$10,Paramètres!$A$1:$I$89,3,0)*0.475*44/12</f>
        <v>4.0644708991639357E-16</v>
      </c>
      <c r="AX175" s="23">
        <f t="shared" si="166"/>
        <v>14.85066744050604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-1.1368683772161603E-13</v>
      </c>
      <c r="BE175" s="14">
        <f>BD175*VLOOKUP('Données projet'!$B$11,Paramètres!$A$1:$I$89,3,0)*VLOOKUP('Données projet'!$B$11,Paramètres!$A$1:$I$89,5,0)</f>
        <v>-1.1527845344971866E-13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396.06968288200386</v>
      </c>
      <c r="BJ175" s="62">
        <f t="shared" si="146"/>
        <v>273.35778700650792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34.795457798992324</v>
      </c>
      <c r="BQ175" s="23">
        <f>EXP(-LN(2)/25)*BQ174+(1-EXP(-LN(2)/25))/(LN(2)/25)*Calculateur!BL175*Calculateur!BN175*VLOOKUP('Données projet'!$B$11,Paramètres!$A$1:$I$89,3,0)*0.475*44/12</f>
        <v>6.5511707364262382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41.34662853541856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394.69391436029986</v>
      </c>
      <c r="T176" s="62">
        <f t="shared" si="142"/>
        <v>311.37245656657353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38.741534809591201</v>
      </c>
      <c r="AA176" s="23">
        <f>EXP(-LN(2)/25)*AA175+(1-EXP(-LN(2)/25))/(LN(2)/25)*Calculateur!V176*Calculateur!X176*VLOOKUP('Données projet'!$B$9,Paramètres!$A$1:$I$89,3,0)*0.475*44/12</f>
        <v>0.16945071172927656</v>
      </c>
      <c r="AB176" s="23">
        <f>EXP(-LN(2)/2)*AB175+(1-EXP(-LN(2)/2))/(LN(2)/2)*V176*Y176*VLOOKUP('Données projet'!$B$9,Paramètres!$A$1:$I$89,3,0)*0.475*44/12</f>
        <v>1.1625799100968204E-12</v>
      </c>
      <c r="AC176" s="24">
        <f t="shared" si="163"/>
        <v>38.910985521321642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5.6843418860808015E-14</v>
      </c>
      <c r="AJ176" s="14">
        <f>AI176*VLOOKUP('Données projet'!$B$10,Paramètres!$A$1:$I$89,3,0)*VLOOKUP('Données projet'!$B$10,Paramètres!$A$1:$I$89,5,0)</f>
        <v>2.6602720026858149E-14</v>
      </c>
      <c r="AK176" s="14">
        <f t="shared" si="164"/>
        <v>4.6624771586320878E-13</v>
      </c>
      <c r="AL176" s="22">
        <f t="shared" si="165"/>
        <v>8.583811758418665E-13</v>
      </c>
      <c r="AM176" s="62">
        <f t="shared" si="113"/>
        <v>288.89331365274933</v>
      </c>
      <c r="AN176" s="62">
        <f ca="1">AVERAGE(OFFSET($AM$3,0,0,'Données projet'!$E$10+1,1))-AVERAGE(OFFSET($H$3,0,0,'Données projet'!$E$10+1,1))</f>
        <v>215.50514301701057</v>
      </c>
      <c r="AO176" s="62">
        <f t="shared" si="144"/>
        <v>273.18950868898253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14.41513582598551</v>
      </c>
      <c r="AV176" s="23">
        <f>EXP(-LN(2)/25)*AV175+(1-EXP(-LN(2)/25))/(LN(2)/25)*Calculateur!AQ176*Calculateur!AS176*VLOOKUP('Données projet'!$B$10,Paramètres!$A$1:$I$89,3,0)*0.475*44/12</f>
        <v>0.14318035042327806</v>
      </c>
      <c r="AW176" s="23">
        <f>EXP(-LN(2)/2)*AW175+(1-EXP(-LN(2)/2))/(LN(2)/2)*AQ176*AT176*VLOOKUP('Données projet'!$B$10,Paramètres!$A$1:$I$89,3,0)*0.475*44/12</f>
        <v>2.8740149347342031E-16</v>
      </c>
      <c r="AX176" s="23">
        <f t="shared" si="166"/>
        <v>14.558316176408789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-1.1368683772161603E-13</v>
      </c>
      <c r="BE176" s="14">
        <f>BD176*VLOOKUP('Données projet'!$B$11,Paramètres!$A$1:$I$89,3,0)*VLOOKUP('Données projet'!$B$11,Paramètres!$A$1:$I$89,5,0)</f>
        <v>-1.1527845344971866E-13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396.06968288200386</v>
      </c>
      <c r="BJ176" s="62">
        <f t="shared" si="146"/>
        <v>273.35778700650792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34.113140094687729</v>
      </c>
      <c r="BQ176" s="23">
        <f>EXP(-LN(2)/25)*BQ175+(1-EXP(-LN(2)/25))/(LN(2)/25)*Calculateur!BL176*Calculateur!BN176*VLOOKUP('Données projet'!$B$11,Paramètres!$A$1:$I$89,3,0)*0.475*44/12</f>
        <v>6.3720286281275662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40.485168722815295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394.69391436029986</v>
      </c>
      <c r="T177" s="62">
        <f t="shared" si="142"/>
        <v>311.37245656657353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37.981836941978081</v>
      </c>
      <c r="AA177" s="23">
        <f>EXP(-LN(2)/25)*AA176+(1-EXP(-LN(2)/25))/(LN(2)/25)*Calculateur!V177*Calculateur!X177*VLOOKUP('Données projet'!$B$9,Paramètres!$A$1:$I$89,3,0)*0.475*44/12</f>
        <v>0.16481707310601384</v>
      </c>
      <c r="AB177" s="23">
        <f>EXP(-LN(2)/2)*AB176+(1-EXP(-LN(2)/2))/(LN(2)/2)*V177*Y177*VLOOKUP('Données projet'!$B$9,Paramètres!$A$1:$I$89,3,0)*0.475*44/12</f>
        <v>8.220681381007085E-13</v>
      </c>
      <c r="AC177" s="24">
        <f t="shared" si="163"/>
        <v>38.14665401508492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5.6843418860808015E-14</v>
      </c>
      <c r="AJ177" s="14">
        <f>AI177*VLOOKUP('Données projet'!$B$10,Paramètres!$A$1:$I$89,3,0)*VLOOKUP('Données projet'!$B$10,Paramètres!$A$1:$I$89,5,0)</f>
        <v>2.6602720026858149E-14</v>
      </c>
      <c r="AK177" s="14">
        <f t="shared" si="164"/>
        <v>4.6624771586320878E-13</v>
      </c>
      <c r="AL177" s="22">
        <f t="shared" si="165"/>
        <v>8.583811758418665E-13</v>
      </c>
      <c r="AM177" s="62">
        <f t="shared" si="113"/>
        <v>288.97033806781059</v>
      </c>
      <c r="AN177" s="62">
        <f ca="1">AVERAGE(OFFSET($AM$3,0,0,'Données projet'!$E$10+1,1))-AVERAGE(OFFSET($H$3,0,0,'Données projet'!$E$10+1,1))</f>
        <v>215.50514301701057</v>
      </c>
      <c r="AO177" s="62">
        <f t="shared" si="144"/>
        <v>273.18950868898253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14.132463804802615</v>
      </c>
      <c r="AV177" s="23">
        <f>EXP(-LN(2)/25)*AV176+(1-EXP(-LN(2)/25))/(LN(2)/25)*Calculateur!AQ177*Calculateur!AS177*VLOOKUP('Données projet'!$B$10,Paramètres!$A$1:$I$89,3,0)*0.475*44/12</f>
        <v>0.13926507621142614</v>
      </c>
      <c r="AW177" s="23">
        <f>EXP(-LN(2)/2)*AW176+(1-EXP(-LN(2)/2))/(LN(2)/2)*AQ177*AT177*VLOOKUP('Données projet'!$B$10,Paramètres!$A$1:$I$89,3,0)*0.475*44/12</f>
        <v>2.0322354495819679E-16</v>
      </c>
      <c r="AX177" s="23">
        <f t="shared" si="166"/>
        <v>14.271728881014042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-1.1368683772161603E-13</v>
      </c>
      <c r="BE177" s="14">
        <f>BD177*VLOOKUP('Données projet'!$B$11,Paramètres!$A$1:$I$89,3,0)*VLOOKUP('Données projet'!$B$11,Paramètres!$A$1:$I$89,5,0)</f>
        <v>-1.1527845344971866E-13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396.06968288200386</v>
      </c>
      <c r="BJ177" s="62">
        <f t="shared" si="146"/>
        <v>273.35778700650792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33.444202224391844</v>
      </c>
      <c r="BQ177" s="23">
        <f>EXP(-LN(2)/25)*BQ176+(1-EXP(-LN(2)/25))/(LN(2)/25)*Calculateur!BL177*Calculateur!BN177*VLOOKUP('Données projet'!$B$11,Paramètres!$A$1:$I$89,3,0)*0.475*44/12</f>
        <v>6.1977851702009961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39.641987394592839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394.69391436029986</v>
      </c>
      <c r="T178" s="62">
        <f t="shared" si="142"/>
        <v>311.37245656657353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37.237036286178913</v>
      </c>
      <c r="AA178" s="23">
        <f>EXP(-LN(2)/25)*AA177+(1-EXP(-LN(2)/25))/(LN(2)/25)*Calculateur!V178*Calculateur!X178*VLOOKUP('Données projet'!$B$9,Paramètres!$A$1:$I$89,3,0)*0.475*44/12</f>
        <v>0.16031014157457671</v>
      </c>
      <c r="AB178" s="23">
        <f>EXP(-LN(2)/2)*AB177+(1-EXP(-LN(2)/2))/(LN(2)/2)*V178*Y178*VLOOKUP('Données projet'!$B$9,Paramètres!$A$1:$I$89,3,0)*0.475*44/12</f>
        <v>5.8128995504841021E-13</v>
      </c>
      <c r="AC178" s="24">
        <f t="shared" si="163"/>
        <v>37.397346427754073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5.6843418860808015E-14</v>
      </c>
      <c r="AJ178" s="14">
        <f>AI178*VLOOKUP('Données projet'!$B$10,Paramètres!$A$1:$I$89,3,0)*VLOOKUP('Données projet'!$B$10,Paramètres!$A$1:$I$89,5,0)</f>
        <v>2.6602720026858149E-14</v>
      </c>
      <c r="AK178" s="14">
        <f t="shared" si="164"/>
        <v>4.6624771586320878E-13</v>
      </c>
      <c r="AL178" s="22">
        <f t="shared" si="165"/>
        <v>8.583811758418665E-13</v>
      </c>
      <c r="AM178" s="62">
        <f t="shared" si="113"/>
        <v>289.04602628147126</v>
      </c>
      <c r="AN178" s="62">
        <f ca="1">AVERAGE(OFFSET($AM$3,0,0,'Données projet'!$E$10+1,1))-AVERAGE(OFFSET($H$3,0,0,'Données projet'!$E$10+1,1))</f>
        <v>215.50514301701057</v>
      </c>
      <c r="AO178" s="62">
        <f t="shared" si="144"/>
        <v>273.18950868898253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13.855334809542207</v>
      </c>
      <c r="AV178" s="23">
        <f>EXP(-LN(2)/25)*AV177+(1-EXP(-LN(2)/25))/(LN(2)/25)*Calculateur!AQ178*Calculateur!AS178*VLOOKUP('Données projet'!$B$10,Paramètres!$A$1:$I$89,3,0)*0.475*44/12</f>
        <v>0.13545686537879262</v>
      </c>
      <c r="AW178" s="23">
        <f>EXP(-LN(2)/2)*AW177+(1-EXP(-LN(2)/2))/(LN(2)/2)*AQ178*AT178*VLOOKUP('Données projet'!$B$10,Paramètres!$A$1:$I$89,3,0)*0.475*44/12</f>
        <v>1.4370074673671016E-16</v>
      </c>
      <c r="AX178" s="23">
        <f t="shared" si="166"/>
        <v>13.990791674920999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-1.1368683772161603E-13</v>
      </c>
      <c r="BE178" s="14">
        <f>BD178*VLOOKUP('Données projet'!$B$11,Paramètres!$A$1:$I$89,3,0)*VLOOKUP('Données projet'!$B$11,Paramètres!$A$1:$I$89,5,0)</f>
        <v>-1.1527845344971866E-13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396.06968288200386</v>
      </c>
      <c r="BJ178" s="62">
        <f t="shared" si="146"/>
        <v>273.35778700650792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32.788381817720648</v>
      </c>
      <c r="BQ178" s="23">
        <f>EXP(-LN(2)/25)*BQ177+(1-EXP(-LN(2)/25))/(LN(2)/25)*Calculateur!BL178*Calculateur!BN178*VLOOKUP('Données projet'!$B$11,Paramètres!$A$1:$I$89,3,0)*0.475*44/12</f>
        <v>6.0283064087944931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38.81668822651514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394.69391436029986</v>
      </c>
      <c r="T179" s="62">
        <f t="shared" si="142"/>
        <v>311.37245656657353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36.506840716956418</v>
      </c>
      <c r="AA179" s="23">
        <f>EXP(-LN(2)/25)*AA178+(1-EXP(-LN(2)/25))/(LN(2)/25)*Calculateur!V179*Calculateur!X179*VLOOKUP('Données projet'!$B$9,Paramètres!$A$1:$I$89,3,0)*0.475*44/12</f>
        <v>0.15592645232287597</v>
      </c>
      <c r="AB179" s="23">
        <f>EXP(-LN(2)/2)*AB178+(1-EXP(-LN(2)/2))/(LN(2)/2)*V179*Y179*VLOOKUP('Données projet'!$B$9,Paramètres!$A$1:$I$89,3,0)*0.475*44/12</f>
        <v>4.1103406905035425E-13</v>
      </c>
      <c r="AC179" s="24">
        <f t="shared" si="163"/>
        <v>36.662767169279704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5.6843418860808015E-14</v>
      </c>
      <c r="AJ179" s="14">
        <f>AI179*VLOOKUP('Données projet'!$B$10,Paramètres!$A$1:$I$89,3,0)*VLOOKUP('Données projet'!$B$10,Paramètres!$A$1:$I$89,5,0)</f>
        <v>2.6602720026858149E-14</v>
      </c>
      <c r="AK179" s="14">
        <f t="shared" si="164"/>
        <v>4.6624771586320878E-13</v>
      </c>
      <c r="AL179" s="22">
        <f t="shared" si="165"/>
        <v>8.583811758418665E-13</v>
      </c>
      <c r="AM179" s="62">
        <f t="shared" si="113"/>
        <v>289.12040147383846</v>
      </c>
      <c r="AN179" s="62">
        <f ca="1">AVERAGE(OFFSET($AM$3,0,0,'Données projet'!$E$10+1,1))-AVERAGE(OFFSET($H$3,0,0,'Données projet'!$E$10+1,1))</f>
        <v>215.50514301701057</v>
      </c>
      <c r="AO179" s="62">
        <f t="shared" si="144"/>
        <v>273.18950868898253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13.583640144846859</v>
      </c>
      <c r="AV179" s="23">
        <f>EXP(-LN(2)/25)*AV178+(1-EXP(-LN(2)/25))/(LN(2)/25)*Calculateur!AQ179*Calculateur!AS179*VLOOKUP('Données projet'!$B$10,Paramètres!$A$1:$I$89,3,0)*0.475*44/12</f>
        <v>0.13175279027164258</v>
      </c>
      <c r="AW179" s="23">
        <f>EXP(-LN(2)/2)*AW178+(1-EXP(-LN(2)/2))/(LN(2)/2)*AQ179*AT179*VLOOKUP('Données projet'!$B$10,Paramètres!$A$1:$I$89,3,0)*0.475*44/12</f>
        <v>1.0161177247909839E-16</v>
      </c>
      <c r="AX179" s="23">
        <f t="shared" si="166"/>
        <v>13.715392935118501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-1.1368683772161603E-13</v>
      </c>
      <c r="BE179" s="14">
        <f>BD179*VLOOKUP('Données projet'!$B$11,Paramètres!$A$1:$I$89,3,0)*VLOOKUP('Données projet'!$B$11,Paramètres!$A$1:$I$89,5,0)</f>
        <v>-1.1527845344971866E-13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396.06968288200386</v>
      </c>
      <c r="BJ179" s="62">
        <f t="shared" si="146"/>
        <v>273.35778700650792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32.145421649213326</v>
      </c>
      <c r="BQ179" s="23">
        <f>EXP(-LN(2)/25)*BQ178+(1-EXP(-LN(2)/25))/(LN(2)/25)*Calculateur!BL179*Calculateur!BN179*VLOOKUP('Données projet'!$B$11,Paramètres!$A$1:$I$89,3,0)*0.475*44/12</f>
        <v>5.8634620530311512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38.008883702244475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394.69391436029986</v>
      </c>
      <c r="T180" s="62">
        <f t="shared" si="142"/>
        <v>311.37245656657353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35.790963837471061</v>
      </c>
      <c r="AA180" s="23">
        <f>EXP(-LN(2)/25)*AA179+(1-EXP(-LN(2)/25))/(LN(2)/25)*Calculateur!V180*Calculateur!X180*VLOOKUP('Données projet'!$B$9,Paramètres!$A$1:$I$89,3,0)*0.475*44/12</f>
        <v>0.15166263528429116</v>
      </c>
      <c r="AB180" s="23">
        <f>EXP(-LN(2)/2)*AB179+(1-EXP(-LN(2)/2))/(LN(2)/2)*V180*Y180*VLOOKUP('Données projet'!$B$9,Paramètres!$A$1:$I$89,3,0)*0.475*44/12</f>
        <v>2.9064497752420511E-13</v>
      </c>
      <c r="AC180" s="24">
        <f t="shared" si="163"/>
        <v>35.942626472755641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5.6843418860808015E-14</v>
      </c>
      <c r="AJ180" s="14">
        <f>AI180*VLOOKUP('Données projet'!$B$10,Paramètres!$A$1:$I$89,3,0)*VLOOKUP('Données projet'!$B$10,Paramètres!$A$1:$I$89,5,0)</f>
        <v>2.6602720026858149E-14</v>
      </c>
      <c r="AK180" s="14">
        <f t="shared" si="164"/>
        <v>4.6624771586320878E-13</v>
      </c>
      <c r="AL180" s="22">
        <f t="shared" si="165"/>
        <v>8.583811758418665E-13</v>
      </c>
      <c r="AM180" s="62">
        <f t="shared" si="113"/>
        <v>289.19348642289611</v>
      </c>
      <c r="AN180" s="62">
        <f ca="1">AVERAGE(OFFSET($AM$3,0,0,'Données projet'!$E$10+1,1))-AVERAGE(OFFSET($H$3,0,0,'Données projet'!$E$10+1,1))</f>
        <v>215.50514301701057</v>
      </c>
      <c r="AO180" s="62">
        <f t="shared" si="144"/>
        <v>273.18950868898253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13.317273246808805</v>
      </c>
      <c r="AV180" s="23">
        <f>EXP(-LN(2)/25)*AV179+(1-EXP(-LN(2)/25))/(LN(2)/25)*Calculateur!AQ180*Calculateur!AS180*VLOOKUP('Données projet'!$B$10,Paramètres!$A$1:$I$89,3,0)*0.475*44/12</f>
        <v>0.1281500032930864</v>
      </c>
      <c r="AW180" s="23">
        <f>EXP(-LN(2)/2)*AW179+(1-EXP(-LN(2)/2))/(LN(2)/2)*AQ180*AT180*VLOOKUP('Données projet'!$B$10,Paramètres!$A$1:$I$89,3,0)*0.475*44/12</f>
        <v>7.1850373368355078E-17</v>
      </c>
      <c r="AX180" s="23">
        <f t="shared" si="166"/>
        <v>13.445423250101891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-1.1368683772161603E-13</v>
      </c>
      <c r="BE180" s="14">
        <f>BD180*VLOOKUP('Données projet'!$B$11,Paramètres!$A$1:$I$89,3,0)*VLOOKUP('Données projet'!$B$11,Paramètres!$A$1:$I$89,5,0)</f>
        <v>-1.1527845344971866E-13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396.06968288200386</v>
      </c>
      <c r="BJ180" s="62">
        <f t="shared" si="146"/>
        <v>273.35778700650792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31.515069537443452</v>
      </c>
      <c r="BQ180" s="23">
        <f>EXP(-LN(2)/25)*BQ179+(1-EXP(-LN(2)/25))/(LN(2)/25)*Calculateur!BL180*Calculateur!BN180*VLOOKUP('Données projet'!$B$11,Paramètres!$A$1:$I$89,3,0)*0.475*44/12</f>
        <v>5.7031253748449462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37.218194912288396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394.69391436029986</v>
      </c>
      <c r="T181" s="62">
        <f t="shared" si="142"/>
        <v>311.37245656657353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35.089124866950627</v>
      </c>
      <c r="AA181" s="23">
        <f>EXP(-LN(2)/25)*AA180+(1-EXP(-LN(2)/25))/(LN(2)/25)*Calculateur!V181*Calculateur!X181*VLOOKUP('Données projet'!$B$9,Paramètres!$A$1:$I$89,3,0)*0.475*44/12</f>
        <v>0.14751541254685085</v>
      </c>
      <c r="AB181" s="23">
        <f>EXP(-LN(2)/2)*AB180+(1-EXP(-LN(2)/2))/(LN(2)/2)*V181*Y181*VLOOKUP('Données projet'!$B$9,Paramètres!$A$1:$I$89,3,0)*0.475*44/12</f>
        <v>2.0551703452517713E-13</v>
      </c>
      <c r="AC181" s="24">
        <f t="shared" si="163"/>
        <v>35.236640279497685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5.6843418860808015E-14</v>
      </c>
      <c r="AJ181" s="14">
        <f>AI181*VLOOKUP('Données projet'!$B$10,Paramètres!$A$1:$I$89,3,0)*VLOOKUP('Données projet'!$B$10,Paramètres!$A$1:$I$89,5,0)</f>
        <v>2.6602720026858149E-14</v>
      </c>
      <c r="AK181" s="14">
        <f t="shared" si="164"/>
        <v>4.6624771586320878E-13</v>
      </c>
      <c r="AL181" s="22">
        <f t="shared" si="165"/>
        <v>8.583811758418665E-13</v>
      </c>
      <c r="AM181" s="62">
        <f t="shared" si="113"/>
        <v>289.26530351148102</v>
      </c>
      <c r="AN181" s="62">
        <f ca="1">AVERAGE(OFFSET($AM$3,0,0,'Données projet'!$E$10+1,1))-AVERAGE(OFFSET($H$3,0,0,'Données projet'!$E$10+1,1))</f>
        <v>215.50514301701057</v>
      </c>
      <c r="AO181" s="62">
        <f t="shared" si="144"/>
        <v>273.18950868898253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13.056129641173511</v>
      </c>
      <c r="AV181" s="23">
        <f>EXP(-LN(2)/25)*AV180+(1-EXP(-LN(2)/25))/(LN(2)/25)*Calculateur!AQ181*Calculateur!AS181*VLOOKUP('Données projet'!$B$10,Paramètres!$A$1:$I$89,3,0)*0.475*44/12</f>
        <v>0.12464573471392117</v>
      </c>
      <c r="AW181" s="23">
        <f>EXP(-LN(2)/2)*AW180+(1-EXP(-LN(2)/2))/(LN(2)/2)*AQ181*AT181*VLOOKUP('Données projet'!$B$10,Paramètres!$A$1:$I$89,3,0)*0.475*44/12</f>
        <v>5.0805886239549197E-17</v>
      </c>
      <c r="AX181" s="23">
        <f t="shared" si="166"/>
        <v>13.180775375887432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-1.1368683772161603E-13</v>
      </c>
      <c r="BE181" s="14">
        <f>BD181*VLOOKUP('Données projet'!$B$11,Paramètres!$A$1:$I$89,3,0)*VLOOKUP('Données projet'!$B$11,Paramètres!$A$1:$I$89,5,0)</f>
        <v>-1.1527845344971866E-13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396.06968288200386</v>
      </c>
      <c r="BJ181" s="62">
        <f t="shared" si="146"/>
        <v>273.35778700650792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30.89707824610856</v>
      </c>
      <c r="BQ181" s="23">
        <f>EXP(-LN(2)/25)*BQ180+(1-EXP(-LN(2)/25))/(LN(2)/25)*Calculateur!BL181*Calculateur!BN181*VLOOKUP('Données projet'!$B$11,Paramètres!$A$1:$I$89,3,0)*0.475*44/12</f>
        <v>5.5471731115554821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36.444251357664044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394.69391436029986</v>
      </c>
      <c r="T182" s="62">
        <f t="shared" si="142"/>
        <v>311.37245656657353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34.401048530562598</v>
      </c>
      <c r="AA182" s="23">
        <f>EXP(-LN(2)/25)*AA181+(1-EXP(-LN(2)/25))/(LN(2)/25)*Calculateur!V182*Calculateur!X182*VLOOKUP('Données projet'!$B$9,Paramètres!$A$1:$I$89,3,0)*0.475*44/12</f>
        <v>0.14348159583325881</v>
      </c>
      <c r="AB182" s="23">
        <f>EXP(-LN(2)/2)*AB181+(1-EXP(-LN(2)/2))/(LN(2)/2)*V182*Y182*VLOOKUP('Données projet'!$B$9,Paramètres!$A$1:$I$89,3,0)*0.475*44/12</f>
        <v>1.4532248876210255E-13</v>
      </c>
      <c r="AC182" s="24">
        <f t="shared" si="163"/>
        <v>34.544530126395998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5.6843418860808015E-14</v>
      </c>
      <c r="AJ182" s="14">
        <f>AI182*VLOOKUP('Données projet'!$B$10,Paramètres!$A$1:$I$89,3,0)*VLOOKUP('Données projet'!$B$10,Paramètres!$A$1:$I$89,5,0)</f>
        <v>2.6602720026858149E-14</v>
      </c>
      <c r="AK182" s="14">
        <f t="shared" si="164"/>
        <v>4.6624771586320878E-13</v>
      </c>
      <c r="AL182" s="22">
        <f t="shared" si="165"/>
        <v>8.583811758418665E-13</v>
      </c>
      <c r="AM182" s="62">
        <f t="shared" si="113"/>
        <v>289.33587473413797</v>
      </c>
      <c r="AN182" s="62">
        <f ca="1">AVERAGE(OFFSET($AM$3,0,0,'Données projet'!$E$10+1,1))-AVERAGE(OFFSET($H$3,0,0,'Données projet'!$E$10+1,1))</f>
        <v>215.50514301701057</v>
      </c>
      <c r="AO182" s="62">
        <f t="shared" si="144"/>
        <v>273.18950868898253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12.800106902362854</v>
      </c>
      <c r="AV182" s="23">
        <f>EXP(-LN(2)/25)*AV181+(1-EXP(-LN(2)/25))/(LN(2)/25)*Calculateur!AQ182*Calculateur!AS182*VLOOKUP('Données projet'!$B$10,Paramètres!$A$1:$I$89,3,0)*0.475*44/12</f>
        <v>0.12123729054333468</v>
      </c>
      <c r="AW182" s="23">
        <f>EXP(-LN(2)/2)*AW181+(1-EXP(-LN(2)/2))/(LN(2)/2)*AQ182*AT182*VLOOKUP('Données projet'!$B$10,Paramètres!$A$1:$I$89,3,0)*0.475*44/12</f>
        <v>3.5925186684177539E-17</v>
      </c>
      <c r="AX182" s="23">
        <f t="shared" si="166"/>
        <v>12.921344192906188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-1.1368683772161603E-13</v>
      </c>
      <c r="BE182" s="14">
        <f>BD182*VLOOKUP('Données projet'!$B$11,Paramètres!$A$1:$I$89,3,0)*VLOOKUP('Données projet'!$B$11,Paramètres!$A$1:$I$89,5,0)</f>
        <v>-1.1527845344971866E-13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396.06968288200386</v>
      </c>
      <c r="BJ182" s="62">
        <f t="shared" si="146"/>
        <v>273.35778700650792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30.291205387059275</v>
      </c>
      <c r="BQ182" s="23">
        <f>EXP(-LN(2)/25)*BQ181+(1-EXP(-LN(2)/25))/(LN(2)/25)*Calculateur!BL182*Calculateur!BN182*VLOOKUP('Données projet'!$B$11,Paramètres!$A$1:$I$89,3,0)*0.475*44/12</f>
        <v>5.395485371106842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35.686690758166115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394.69391436029986</v>
      </c>
      <c r="T183" s="62">
        <f t="shared" si="142"/>
        <v>311.37245656657353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33.726464951446012</v>
      </c>
      <c r="AA183" s="23">
        <f>EXP(-LN(2)/25)*AA182+(1-EXP(-LN(2)/25))/(LN(2)/25)*Calculateur!V183*Calculateur!X183*VLOOKUP('Données projet'!$B$9,Paramètres!$A$1:$I$89,3,0)*0.475*44/12</f>
        <v>0.13955808404982917</v>
      </c>
      <c r="AB183" s="23">
        <f>EXP(-LN(2)/2)*AB182+(1-EXP(-LN(2)/2))/(LN(2)/2)*V183*Y183*VLOOKUP('Données projet'!$B$9,Paramètres!$A$1:$I$89,3,0)*0.475*44/12</f>
        <v>1.0275851726258856E-13</v>
      </c>
      <c r="AC183" s="24">
        <f t="shared" si="163"/>
        <v>33.866023035495942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5.6843418860808015E-14</v>
      </c>
      <c r="AJ183" s="14">
        <f>AI183*VLOOKUP('Données projet'!$B$10,Paramètres!$A$1:$I$89,3,0)*VLOOKUP('Données projet'!$B$10,Paramètres!$A$1:$I$89,5,0)</f>
        <v>2.6602720026858149E-14</v>
      </c>
      <c r="AK183" s="14">
        <f t="shared" si="164"/>
        <v>4.6624771586320878E-13</v>
      </c>
      <c r="AL183" s="22">
        <f t="shared" si="165"/>
        <v>8.583811758418665E-13</v>
      </c>
      <c r="AM183" s="62">
        <f t="shared" si="113"/>
        <v>289.40522170385549</v>
      </c>
      <c r="AN183" s="62">
        <f ca="1">AVERAGE(OFFSET($AM$3,0,0,'Données projet'!$E$10+1,1))-AVERAGE(OFFSET($H$3,0,0,'Données projet'!$E$10+1,1))</f>
        <v>215.50514301701057</v>
      </c>
      <c r="AO183" s="62">
        <f t="shared" si="144"/>
        <v>273.18950868898253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12.549104613301823</v>
      </c>
      <c r="AV183" s="23">
        <f>EXP(-LN(2)/25)*AV182+(1-EXP(-LN(2)/25))/(LN(2)/25)*Calculateur!AQ183*Calculateur!AS183*VLOOKUP('Données projet'!$B$10,Paramètres!$A$1:$I$89,3,0)*0.475*44/12</f>
        <v>0.11792205045783517</v>
      </c>
      <c r="AW183" s="23">
        <f>EXP(-LN(2)/2)*AW182+(1-EXP(-LN(2)/2))/(LN(2)/2)*AQ183*AT183*VLOOKUP('Données projet'!$B$10,Paramètres!$A$1:$I$89,3,0)*0.475*44/12</f>
        <v>2.5402943119774598E-17</v>
      </c>
      <c r="AX183" s="23">
        <f t="shared" si="166"/>
        <v>12.667026663759659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-1.1368683772161603E-13</v>
      </c>
      <c r="BE183" s="14">
        <f>BD183*VLOOKUP('Données projet'!$B$11,Paramètres!$A$1:$I$89,3,0)*VLOOKUP('Données projet'!$B$11,Paramètres!$A$1:$I$89,5,0)</f>
        <v>-1.1527845344971866E-13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396.06968288200386</v>
      </c>
      <c r="BJ183" s="62">
        <f t="shared" si="146"/>
        <v>273.35778700650792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29.697213325229995</v>
      </c>
      <c r="BQ183" s="23">
        <f>EXP(-LN(2)/25)*BQ182+(1-EXP(-LN(2)/25))/(LN(2)/25)*Calculateur!BL183*Calculateur!BN183*VLOOKUP('Données projet'!$B$11,Paramètres!$A$1:$I$89,3,0)*0.475*44/12</f>
        <v>5.2479455398976809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34.945158865127674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394.69391436029986</v>
      </c>
      <c r="T184" s="62">
        <f t="shared" si="142"/>
        <v>311.37245656657353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33.065109544860547</v>
      </c>
      <c r="AA184" s="23">
        <f>EXP(-LN(2)/25)*AA183+(1-EXP(-LN(2)/25))/(LN(2)/25)*Calculateur!V184*Calculateur!X184*VLOOKUP('Données projet'!$B$9,Paramètres!$A$1:$I$89,3,0)*0.475*44/12</f>
        <v>0.13574186090244592</v>
      </c>
      <c r="AB184" s="23">
        <f>EXP(-LN(2)/2)*AB183+(1-EXP(-LN(2)/2))/(LN(2)/2)*V184*Y184*VLOOKUP('Données projet'!$B$9,Paramètres!$A$1:$I$89,3,0)*0.475*44/12</f>
        <v>7.2661244381051277E-14</v>
      </c>
      <c r="AC184" s="24">
        <f t="shared" si="163"/>
        <v>33.200851405763068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5.6843418860808015E-14</v>
      </c>
      <c r="AJ184" s="14">
        <f>AI184*VLOOKUP('Données projet'!$B$10,Paramètres!$A$1:$I$89,3,0)*VLOOKUP('Données projet'!$B$10,Paramètres!$A$1:$I$89,5,0)</f>
        <v>2.6602720026858149E-14</v>
      </c>
      <c r="AK184" s="14">
        <f t="shared" si="164"/>
        <v>4.6624771586320878E-13</v>
      </c>
      <c r="AL184" s="22">
        <f t="shared" si="165"/>
        <v>8.583811758418665E-13</v>
      </c>
      <c r="AM184" s="62">
        <f t="shared" si="113"/>
        <v>289.47336565868494</v>
      </c>
      <c r="AN184" s="62">
        <f ca="1">AVERAGE(OFFSET($AM$3,0,0,'Données projet'!$E$10+1,1))-AVERAGE(OFFSET($H$3,0,0,'Données projet'!$E$10+1,1))</f>
        <v>215.50514301701057</v>
      </c>
      <c r="AO184" s="62">
        <f t="shared" si="144"/>
        <v>273.18950868898253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12.303024326032999</v>
      </c>
      <c r="AV184" s="23">
        <f>EXP(-LN(2)/25)*AV183+(1-EXP(-LN(2)/25))/(LN(2)/25)*Calculateur!AQ184*Calculateur!AS184*VLOOKUP('Données projet'!$B$10,Paramètres!$A$1:$I$89,3,0)*0.475*44/12</f>
        <v>0.11469746578681456</v>
      </c>
      <c r="AW184" s="23">
        <f>EXP(-LN(2)/2)*AW183+(1-EXP(-LN(2)/2))/(LN(2)/2)*AQ184*AT184*VLOOKUP('Données projet'!$B$10,Paramètres!$A$1:$I$89,3,0)*0.475*44/12</f>
        <v>1.7962593342088769E-17</v>
      </c>
      <c r="AX184" s="23">
        <f t="shared" si="166"/>
        <v>12.417721791819814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-1.1368683772161603E-13</v>
      </c>
      <c r="BE184" s="14">
        <f>BD184*VLOOKUP('Données projet'!$B$11,Paramètres!$A$1:$I$89,3,0)*VLOOKUP('Données projet'!$B$11,Paramètres!$A$1:$I$89,5,0)</f>
        <v>-1.1527845344971866E-13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396.06968288200386</v>
      </c>
      <c r="BJ184" s="62">
        <f t="shared" si="146"/>
        <v>273.35778700650792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29.114869085433803</v>
      </c>
      <c r="BQ184" s="23">
        <f>EXP(-LN(2)/25)*BQ183+(1-EXP(-LN(2)/25))/(LN(2)/25)*Calculateur!BL184*Calculateur!BN184*VLOOKUP('Données projet'!$B$11,Paramètres!$A$1:$I$89,3,0)*0.475*44/12</f>
        <v>5.1044401931317172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34.219309278565518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394.69391436029986</v>
      </c>
      <c r="T185" s="62">
        <f t="shared" si="142"/>
        <v>311.37245656657353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32.41672291441126</v>
      </c>
      <c r="AA185" s="23">
        <f>EXP(-LN(2)/25)*AA184+(1-EXP(-LN(2)/25))/(LN(2)/25)*Calculateur!V185*Calculateur!X185*VLOOKUP('Données projet'!$B$9,Paramètres!$A$1:$I$89,3,0)*0.475*44/12</f>
        <v>0.13202999257771431</v>
      </c>
      <c r="AB185" s="23">
        <f>EXP(-LN(2)/2)*AB184+(1-EXP(-LN(2)/2))/(LN(2)/2)*V185*Y185*VLOOKUP('Données projet'!$B$9,Paramètres!$A$1:$I$89,3,0)*0.475*44/12</f>
        <v>5.1379258631294281E-14</v>
      </c>
      <c r="AC185" s="24">
        <f t="shared" si="163"/>
        <v>32.548752906989023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5.6843418860808015E-14</v>
      </c>
      <c r="AJ185" s="14">
        <f>AI185*VLOOKUP('Données projet'!$B$10,Paramètres!$A$1:$I$89,3,0)*VLOOKUP('Données projet'!$B$10,Paramètres!$A$1:$I$89,5,0)</f>
        <v>2.6602720026858149E-14</v>
      </c>
      <c r="AK185" s="14">
        <f t="shared" si="164"/>
        <v>4.6624771586320878E-13</v>
      </c>
      <c r="AL185" s="22">
        <f t="shared" si="165"/>
        <v>8.583811758418665E-13</v>
      </c>
      <c r="AM185" s="62">
        <f t="shared" si="113"/>
        <v>289.54032746824527</v>
      </c>
      <c r="AN185" s="62">
        <f ca="1">AVERAGE(OFFSET($AM$3,0,0,'Données projet'!$E$10+1,1))-AVERAGE(OFFSET($H$3,0,0,'Données projet'!$E$10+1,1))</f>
        <v>215.50514301701057</v>
      </c>
      <c r="AO185" s="62">
        <f t="shared" si="144"/>
        <v>273.18950868898253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12.061769523103361</v>
      </c>
      <c r="AV185" s="23">
        <f>EXP(-LN(2)/25)*AV184+(1-EXP(-LN(2)/25))/(LN(2)/25)*Calculateur!AQ185*Calculateur!AS185*VLOOKUP('Données projet'!$B$10,Paramètres!$A$1:$I$89,3,0)*0.475*44/12</f>
        <v>0.11156105755319654</v>
      </c>
      <c r="AW185" s="23">
        <f>EXP(-LN(2)/2)*AW184+(1-EXP(-LN(2)/2))/(LN(2)/2)*AQ185*AT185*VLOOKUP('Données projet'!$B$10,Paramètres!$A$1:$I$89,3,0)*0.475*44/12</f>
        <v>1.2701471559887299E-17</v>
      </c>
      <c r="AX185" s="23">
        <f t="shared" si="166"/>
        <v>12.173330580656557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-1.1368683772161603E-13</v>
      </c>
      <c r="BE185" s="14">
        <f>BD185*VLOOKUP('Données projet'!$B$11,Paramètres!$A$1:$I$89,3,0)*VLOOKUP('Données projet'!$B$11,Paramètres!$A$1:$I$89,5,0)</f>
        <v>-1.1527845344971866E-13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396.06968288200386</v>
      </c>
      <c r="BJ185" s="62">
        <f t="shared" si="146"/>
        <v>273.35778700650792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28.5439442609851</v>
      </c>
      <c r="BQ185" s="23">
        <f>EXP(-LN(2)/25)*BQ184+(1-EXP(-LN(2)/25))/(LN(2)/25)*Calculateur!BL185*Calculateur!BN185*VLOOKUP('Données projet'!$B$11,Paramètres!$A$1:$I$89,3,0)*0.475*44/12</f>
        <v>4.9648590076196868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33.508803268604787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394.69391436029986</v>
      </c>
      <c r="T186" s="62">
        <f t="shared" si="142"/>
        <v>311.37245656657353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31.781050750308285</v>
      </c>
      <c r="AA186" s="23">
        <f>EXP(-LN(2)/25)*AA185+(1-EXP(-LN(2)/25))/(LN(2)/25)*Calculateur!V186*Calculateur!X186*VLOOKUP('Données projet'!$B$9,Paramètres!$A$1:$I$89,3,0)*0.475*44/12</f>
        <v>0.12841962548752114</v>
      </c>
      <c r="AB186" s="23">
        <f>EXP(-LN(2)/2)*AB185+(1-EXP(-LN(2)/2))/(LN(2)/2)*V186*Y186*VLOOKUP('Données projet'!$B$9,Paramètres!$A$1:$I$89,3,0)*0.475*44/12</f>
        <v>3.6330622190525638E-14</v>
      </c>
      <c r="AC186" s="24">
        <f t="shared" si="163"/>
        <v>31.909470375795841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5.6843418860808015E-14</v>
      </c>
      <c r="AJ186" s="14">
        <f>AI186*VLOOKUP('Données projet'!$B$10,Paramètres!$A$1:$I$89,3,0)*VLOOKUP('Données projet'!$B$10,Paramètres!$A$1:$I$89,5,0)</f>
        <v>2.6602720026858149E-14</v>
      </c>
      <c r="AK186" s="14">
        <f t="shared" si="164"/>
        <v>4.6624771586320878E-13</v>
      </c>
      <c r="AL186" s="22">
        <f t="shared" si="165"/>
        <v>8.583811758418665E-13</v>
      </c>
      <c r="AM186" s="62">
        <f t="shared" si="113"/>
        <v>289.60612764011381</v>
      </c>
      <c r="AN186" s="62">
        <f ca="1">AVERAGE(OFFSET($AM$3,0,0,'Données projet'!$E$10+1,1))-AVERAGE(OFFSET($H$3,0,0,'Données projet'!$E$10+1,1))</f>
        <v>215.50514301701057</v>
      </c>
      <c r="AO186" s="62">
        <f t="shared" si="144"/>
        <v>273.18950868898253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11.825245579708275</v>
      </c>
      <c r="AV186" s="23">
        <f>EXP(-LN(2)/25)*AV185+(1-EXP(-LN(2)/25))/(LN(2)/25)*Calculateur!AQ186*Calculateur!AS186*VLOOKUP('Données projet'!$B$10,Paramètres!$A$1:$I$89,3,0)*0.475*44/12</f>
        <v>0.10851041456766333</v>
      </c>
      <c r="AW186" s="23">
        <f>EXP(-LN(2)/2)*AW185+(1-EXP(-LN(2)/2))/(LN(2)/2)*AQ186*AT186*VLOOKUP('Données projet'!$B$10,Paramètres!$A$1:$I$89,3,0)*0.475*44/12</f>
        <v>8.9812966710443847E-18</v>
      </c>
      <c r="AX186" s="23">
        <f t="shared" si="166"/>
        <v>11.933755994275938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-1.1368683772161603E-13</v>
      </c>
      <c r="BE186" s="14">
        <f>BD186*VLOOKUP('Données projet'!$B$11,Paramètres!$A$1:$I$89,3,0)*VLOOKUP('Données projet'!$B$11,Paramètres!$A$1:$I$89,5,0)</f>
        <v>-1.1527845344971866E-13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396.06968288200386</v>
      </c>
      <c r="BJ186" s="62">
        <f t="shared" si="146"/>
        <v>273.35778700650792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27.984214924114077</v>
      </c>
      <c r="BQ186" s="23">
        <f>EXP(-LN(2)/25)*BQ185+(1-EXP(-LN(2)/25))/(LN(2)/25)*Calculateur!BL186*Calculateur!BN186*VLOOKUP('Données projet'!$B$11,Paramètres!$A$1:$I$89,3,0)*0.475*44/12</f>
        <v>4.829094676965739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32.813309601079816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394.69391436029986</v>
      </c>
      <c r="T187" s="62">
        <f t="shared" si="142"/>
        <v>311.37245656657353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31.157843729621636</v>
      </c>
      <c r="AA187" s="23">
        <f>EXP(-LN(2)/25)*AA186+(1-EXP(-LN(2)/25))/(LN(2)/25)*Calculateur!V187*Calculateur!X187*VLOOKUP('Données projet'!$B$9,Paramètres!$A$1:$I$89,3,0)*0.475*44/12</f>
        <v>0.12490798407527028</v>
      </c>
      <c r="AB187" s="23">
        <f>EXP(-LN(2)/2)*AB186+(1-EXP(-LN(2)/2))/(LN(2)/2)*V187*Y187*VLOOKUP('Données projet'!$B$9,Paramètres!$A$1:$I$89,3,0)*0.475*44/12</f>
        <v>2.5689629315647141E-14</v>
      </c>
      <c r="AC187" s="24">
        <f t="shared" si="163"/>
        <v>31.282751713696932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5.6843418860808015E-14</v>
      </c>
      <c r="AJ187" s="14">
        <f>AI187*VLOOKUP('Données projet'!$B$10,Paramètres!$A$1:$I$89,3,0)*VLOOKUP('Données projet'!$B$10,Paramètres!$A$1:$I$89,5,0)</f>
        <v>2.6602720026858149E-14</v>
      </c>
      <c r="AK187" s="14">
        <f t="shared" si="164"/>
        <v>4.6624771586320878E-13</v>
      </c>
      <c r="AL187" s="22">
        <f t="shared" si="165"/>
        <v>8.583811758418665E-13</v>
      </c>
      <c r="AM187" s="62">
        <f t="shared" si="113"/>
        <v>289.67078632610759</v>
      </c>
      <c r="AN187" s="62">
        <f ca="1">AVERAGE(OFFSET($AM$3,0,0,'Données projet'!$E$10+1,1))-AVERAGE(OFFSET($H$3,0,0,'Données projet'!$E$10+1,1))</f>
        <v>215.50514301701057</v>
      </c>
      <c r="AO187" s="62">
        <f t="shared" si="144"/>
        <v>273.18950868898253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11.593359726577805</v>
      </c>
      <c r="AV187" s="23">
        <f>EXP(-LN(2)/25)*AV186+(1-EXP(-LN(2)/25))/(LN(2)/25)*Calculateur!AQ187*Calculateur!AS187*VLOOKUP('Données projet'!$B$10,Paramètres!$A$1:$I$89,3,0)*0.475*44/12</f>
        <v>0.10554319157499588</v>
      </c>
      <c r="AW187" s="23">
        <f>EXP(-LN(2)/2)*AW186+(1-EXP(-LN(2)/2))/(LN(2)/2)*AQ187*AT187*VLOOKUP('Données projet'!$B$10,Paramètres!$A$1:$I$89,3,0)*0.475*44/12</f>
        <v>6.3507357799436496E-18</v>
      </c>
      <c r="AX187" s="23">
        <f t="shared" si="166"/>
        <v>11.698902918152802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-1.1368683772161603E-13</v>
      </c>
      <c r="BE187" s="14">
        <f>BD187*VLOOKUP('Données projet'!$B$11,Paramètres!$A$1:$I$89,3,0)*VLOOKUP('Données projet'!$B$11,Paramètres!$A$1:$I$89,5,0)</f>
        <v>-1.1527845344971866E-13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396.06968288200386</v>
      </c>
      <c r="BJ187" s="62">
        <f t="shared" si="146"/>
        <v>273.35778700650792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27.435461538137911</v>
      </c>
      <c r="BQ187" s="23">
        <f>EXP(-LN(2)/25)*BQ186+(1-EXP(-LN(2)/25))/(LN(2)/25)*Calculateur!BL187*Calculateur!BN187*VLOOKUP('Données projet'!$B$11,Paramètres!$A$1:$I$89,3,0)*0.475*44/12</f>
        <v>4.6970428290730588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32.13250436721097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394.69391436029986</v>
      </c>
      <c r="T188" s="62">
        <f t="shared" si="142"/>
        <v>311.37245656657353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30.5468574184919</v>
      </c>
      <c r="AA188" s="23">
        <f>EXP(-LN(2)/25)*AA187+(1-EXP(-LN(2)/25))/(LN(2)/25)*Calculateur!V188*Calculateur!X188*VLOOKUP('Données projet'!$B$9,Paramètres!$A$1:$I$89,3,0)*0.475*44/12</f>
        <v>0.12149236868210661</v>
      </c>
      <c r="AB188" s="23">
        <f>EXP(-LN(2)/2)*AB187+(1-EXP(-LN(2)/2))/(LN(2)/2)*V188*Y188*VLOOKUP('Données projet'!$B$9,Paramètres!$A$1:$I$89,3,0)*0.475*44/12</f>
        <v>1.8165311095262819E-14</v>
      </c>
      <c r="AC188" s="24">
        <f t="shared" si="163"/>
        <v>30.668349787174023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5.6843418860808015E-14</v>
      </c>
      <c r="AJ188" s="14">
        <f>AI188*VLOOKUP('Données projet'!$B$10,Paramètres!$A$1:$I$89,3,0)*VLOOKUP('Données projet'!$B$10,Paramètres!$A$1:$I$89,5,0)</f>
        <v>2.6602720026858149E-14</v>
      </c>
      <c r="AK188" s="14">
        <f t="shared" si="164"/>
        <v>4.6624771586320878E-13</v>
      </c>
      <c r="AL188" s="22">
        <f t="shared" si="165"/>
        <v>8.583811758418665E-13</v>
      </c>
      <c r="AM188" s="62">
        <f t="shared" si="113"/>
        <v>289.73432332845459</v>
      </c>
      <c r="AN188" s="62">
        <f ca="1">AVERAGE(OFFSET($AM$3,0,0,'Données projet'!$E$10+1,1))-AVERAGE(OFFSET($H$3,0,0,'Données projet'!$E$10+1,1))</f>
        <v>215.50514301701057</v>
      </c>
      <c r="AO188" s="62">
        <f t="shared" si="144"/>
        <v>273.18950868898253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11.366021013590819</v>
      </c>
      <c r="AV188" s="23">
        <f>EXP(-LN(2)/25)*AV187+(1-EXP(-LN(2)/25))/(LN(2)/25)*Calculateur!AQ188*Calculateur!AS188*VLOOKUP('Données projet'!$B$10,Paramètres!$A$1:$I$89,3,0)*0.475*44/12</f>
        <v>0.10265710745110239</v>
      </c>
      <c r="AW188" s="23">
        <f>EXP(-LN(2)/2)*AW187+(1-EXP(-LN(2)/2))/(LN(2)/2)*AQ188*AT188*VLOOKUP('Données projet'!$B$10,Paramètres!$A$1:$I$89,3,0)*0.475*44/12</f>
        <v>4.4906483355221924E-18</v>
      </c>
      <c r="AX188" s="23">
        <f t="shared" si="166"/>
        <v>11.468678121041922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-1.1368683772161603E-13</v>
      </c>
      <c r="BE188" s="14">
        <f>BD188*VLOOKUP('Données projet'!$B$11,Paramètres!$A$1:$I$89,3,0)*VLOOKUP('Données projet'!$B$11,Paramètres!$A$1:$I$89,5,0)</f>
        <v>-1.1527845344971866E-13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396.06968288200386</v>
      </c>
      <c r="BJ188" s="62">
        <f t="shared" si="146"/>
        <v>273.35778700650792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26.897468871354221</v>
      </c>
      <c r="BQ188" s="23">
        <f>EXP(-LN(2)/25)*BQ187+(1-EXP(-LN(2)/25))/(LN(2)/25)*Calculateur!BL188*Calculateur!BN188*VLOOKUP('Données projet'!$B$11,Paramètres!$A$1:$I$89,3,0)*0.475*44/12</f>
        <v>4.5686019459053089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31.466070817259528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394.69391436029986</v>
      </c>
      <c r="T189" s="62">
        <f t="shared" si="142"/>
        <v>311.37245656657353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29.947852176258568</v>
      </c>
      <c r="AA189" s="23">
        <f>EXP(-LN(2)/25)*AA188+(1-EXP(-LN(2)/25))/(LN(2)/25)*Calculateur!V189*Calculateur!X189*VLOOKUP('Données projet'!$B$9,Paramètres!$A$1:$I$89,3,0)*0.475*44/12</f>
        <v>0.11817015347148842</v>
      </c>
      <c r="AB189" s="23">
        <f>EXP(-LN(2)/2)*AB188+(1-EXP(-LN(2)/2))/(LN(2)/2)*V189*Y189*VLOOKUP('Données projet'!$B$9,Paramètres!$A$1:$I$89,3,0)*0.475*44/12</f>
        <v>1.284481465782357E-14</v>
      </c>
      <c r="AC189" s="24">
        <f t="shared" si="163"/>
        <v>30.066022329730071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5.6843418860808015E-14</v>
      </c>
      <c r="AJ189" s="14">
        <f>AI189*VLOOKUP('Données projet'!$B$10,Paramètres!$A$1:$I$89,3,0)*VLOOKUP('Données projet'!$B$10,Paramètres!$A$1:$I$89,5,0)</f>
        <v>2.6602720026858149E-14</v>
      </c>
      <c r="AK189" s="14">
        <f t="shared" si="164"/>
        <v>4.6624771586320878E-13</v>
      </c>
      <c r="AL189" s="22">
        <f t="shared" si="165"/>
        <v>8.583811758418665E-13</v>
      </c>
      <c r="AM189" s="62">
        <f t="shared" si="113"/>
        <v>289.79675810585826</v>
      </c>
      <c r="AN189" s="62">
        <f ca="1">AVERAGE(OFFSET($AM$3,0,0,'Données projet'!$E$10+1,1))-AVERAGE(OFFSET($H$3,0,0,'Données projet'!$E$10+1,1))</f>
        <v>215.50514301701057</v>
      </c>
      <c r="AO189" s="62">
        <f t="shared" si="144"/>
        <v>273.18950868898253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11.143140274102585</v>
      </c>
      <c r="AV189" s="23">
        <f>EXP(-LN(2)/25)*AV188+(1-EXP(-LN(2)/25))/(LN(2)/25)*Calculateur!AQ189*Calculateur!AS189*VLOOKUP('Données projet'!$B$10,Paramètres!$A$1:$I$89,3,0)*0.475*44/12</f>
        <v>9.9849943449349346E-2</v>
      </c>
      <c r="AW189" s="23">
        <f>EXP(-LN(2)/2)*AW188+(1-EXP(-LN(2)/2))/(LN(2)/2)*AQ189*AT189*VLOOKUP('Données projet'!$B$10,Paramètres!$A$1:$I$89,3,0)*0.475*44/12</f>
        <v>3.1753678899718248E-18</v>
      </c>
      <c r="AX189" s="23">
        <f t="shared" si="166"/>
        <v>11.242990217551935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-1.1368683772161603E-13</v>
      </c>
      <c r="BE189" s="14">
        <f>BD189*VLOOKUP('Données projet'!$B$11,Paramètres!$A$1:$I$89,3,0)*VLOOKUP('Données projet'!$B$11,Paramètres!$A$1:$I$89,5,0)</f>
        <v>-1.1527845344971866E-13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396.06968288200386</v>
      </c>
      <c r="BJ189" s="62">
        <f t="shared" si="146"/>
        <v>273.35778700650792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26.370025912623035</v>
      </c>
      <c r="BQ189" s="23">
        <f>EXP(-LN(2)/25)*BQ188+(1-EXP(-LN(2)/25))/(LN(2)/25)*Calculateur!BL189*Calculateur!BN189*VLOOKUP('Données projet'!$B$11,Paramètres!$A$1:$I$89,3,0)*0.475*44/12</f>
        <v>4.4436732854421939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30.81369919806523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394.69391436029986</v>
      </c>
      <c r="T190" s="62">
        <f t="shared" si="142"/>
        <v>311.37245656657353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29.360593061468307</v>
      </c>
      <c r="AA190" s="23">
        <f>EXP(-LN(2)/25)*AA189+(1-EXP(-LN(2)/25))/(LN(2)/25)*Calculateur!V190*Calculateur!X190*VLOOKUP('Données projet'!$B$9,Paramètres!$A$1:$I$89,3,0)*0.475*44/12</f>
        <v>0.11493878441051228</v>
      </c>
      <c r="AB190" s="23">
        <f>EXP(-LN(2)/2)*AB189+(1-EXP(-LN(2)/2))/(LN(2)/2)*V190*Y190*VLOOKUP('Données projet'!$B$9,Paramètres!$A$1:$I$89,3,0)*0.475*44/12</f>
        <v>9.0826555476314096E-15</v>
      </c>
      <c r="AC190" s="24">
        <f t="shared" si="163"/>
        <v>29.47553184587883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5.6843418860808015E-14</v>
      </c>
      <c r="AJ190" s="14">
        <f>AI190*VLOOKUP('Données projet'!$B$10,Paramètres!$A$1:$I$89,3,0)*VLOOKUP('Données projet'!$B$10,Paramètres!$A$1:$I$89,5,0)</f>
        <v>2.6602720026858149E-14</v>
      </c>
      <c r="AK190" s="14">
        <f t="shared" si="164"/>
        <v>4.6624771586320878E-13</v>
      </c>
      <c r="AL190" s="22">
        <f t="shared" si="165"/>
        <v>8.583811758418665E-13</v>
      </c>
      <c r="AM190" s="62">
        <f t="shared" si="113"/>
        <v>289.85810977945727</v>
      </c>
      <c r="AN190" s="62">
        <f ca="1">AVERAGE(OFFSET($AM$3,0,0,'Données projet'!$E$10+1,1))-AVERAGE(OFFSET($H$3,0,0,'Données projet'!$E$10+1,1))</f>
        <v>215.50514301701057</v>
      </c>
      <c r="AO190" s="62">
        <f t="shared" si="144"/>
        <v>273.18950868898253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10.924630089971888</v>
      </c>
      <c r="AV190" s="23">
        <f>EXP(-LN(2)/25)*AV189+(1-EXP(-LN(2)/25))/(LN(2)/25)*Calculateur!AQ190*Calculateur!AS190*VLOOKUP('Données projet'!$B$10,Paramètres!$A$1:$I$89,3,0)*0.475*44/12</f>
        <v>9.711954149484657E-2</v>
      </c>
      <c r="AW190" s="23">
        <f>EXP(-LN(2)/2)*AW189+(1-EXP(-LN(2)/2))/(LN(2)/2)*AQ190*AT190*VLOOKUP('Données projet'!$B$10,Paramètres!$A$1:$I$89,3,0)*0.475*44/12</f>
        <v>2.2453241677610962E-18</v>
      </c>
      <c r="AX190" s="23">
        <f t="shared" si="166"/>
        <v>11.021749631466735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-1.1368683772161603E-13</v>
      </c>
      <c r="BE190" s="14">
        <f>BD190*VLOOKUP('Données projet'!$B$11,Paramètres!$A$1:$I$89,3,0)*VLOOKUP('Données projet'!$B$11,Paramètres!$A$1:$I$89,5,0)</f>
        <v>-1.1527845344971866E-13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396.06968288200386</v>
      </c>
      <c r="BJ190" s="62">
        <f t="shared" si="146"/>
        <v>273.35778700650792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25.852925788604129</v>
      </c>
      <c r="BQ190" s="23">
        <f>EXP(-LN(2)/25)*BQ189+(1-EXP(-LN(2)/25))/(LN(2)/25)*Calculateur!BL190*Calculateur!BN190*VLOOKUP('Données projet'!$B$11,Paramètres!$A$1:$I$89,3,0)*0.475*44/12</f>
        <v>4.3221608057691547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30.175086594373283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394.69391436029986</v>
      </c>
      <c r="T191" s="62">
        <f t="shared" si="142"/>
        <v>311.37245656657353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28.784849739726393</v>
      </c>
      <c r="AA191" s="23">
        <f>EXP(-LN(2)/25)*AA190+(1-EXP(-LN(2)/25))/(LN(2)/25)*Calculateur!V191*Calculateur!X191*VLOOKUP('Données projet'!$B$9,Paramètres!$A$1:$I$89,3,0)*0.475*44/12</f>
        <v>0.11179577730643885</v>
      </c>
      <c r="AB191" s="23">
        <f>EXP(-LN(2)/2)*AB190+(1-EXP(-LN(2)/2))/(LN(2)/2)*V191*Y191*VLOOKUP('Données projet'!$B$9,Paramètres!$A$1:$I$89,3,0)*0.475*44/12</f>
        <v>6.4224073289117852E-15</v>
      </c>
      <c r="AC191" s="24">
        <f t="shared" si="163"/>
        <v>28.896645517032841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5.6843418860808015E-14</v>
      </c>
      <c r="AJ191" s="14">
        <f>AI191*VLOOKUP('Données projet'!$B$10,Paramètres!$A$1:$I$89,3,0)*VLOOKUP('Données projet'!$B$10,Paramètres!$A$1:$I$89,5,0)</f>
        <v>2.6602720026858149E-14</v>
      </c>
      <c r="AK191" s="14">
        <f t="shared" si="164"/>
        <v>4.6624771586320878E-13</v>
      </c>
      <c r="AL191" s="22">
        <f t="shared" si="165"/>
        <v>8.583811758418665E-13</v>
      </c>
      <c r="AM191" s="62">
        <f t="shared" si="113"/>
        <v>289.91839713868109</v>
      </c>
      <c r="AN191" s="62">
        <f ca="1">AVERAGE(OFFSET($AM$3,0,0,'Données projet'!$E$10+1,1))-AVERAGE(OFFSET($H$3,0,0,'Données projet'!$E$10+1,1))</f>
        <v>215.50514301701057</v>
      </c>
      <c r="AO191" s="62">
        <f t="shared" si="144"/>
        <v>273.18950868898253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10.710404757273942</v>
      </c>
      <c r="AV191" s="23">
        <f>EXP(-LN(2)/25)*AV190+(1-EXP(-LN(2)/25))/(LN(2)/25)*Calculateur!AQ191*Calculateur!AS191*VLOOKUP('Données projet'!$B$10,Paramètres!$A$1:$I$89,3,0)*0.475*44/12</f>
        <v>9.4463802525375271E-2</v>
      </c>
      <c r="AW191" s="23">
        <f>EXP(-LN(2)/2)*AW190+(1-EXP(-LN(2)/2))/(LN(2)/2)*AQ191*AT191*VLOOKUP('Données projet'!$B$10,Paramètres!$A$1:$I$89,3,0)*0.475*44/12</f>
        <v>1.5876839449859124E-18</v>
      </c>
      <c r="AX191" s="23">
        <f t="shared" si="166"/>
        <v>10.804868559799317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-1.1368683772161603E-13</v>
      </c>
      <c r="BE191" s="14">
        <f>BD191*VLOOKUP('Données projet'!$B$11,Paramètres!$A$1:$I$89,3,0)*VLOOKUP('Données projet'!$B$11,Paramètres!$A$1:$I$89,5,0)</f>
        <v>-1.1527845344971866E-13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396.06968288200386</v>
      </c>
      <c r="BJ191" s="62">
        <f t="shared" si="146"/>
        <v>273.35778700650792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25.345965682617301</v>
      </c>
      <c r="BQ191" s="23">
        <f>EXP(-LN(2)/25)*BQ190+(1-EXP(-LN(2)/25))/(LN(2)/25)*Calculateur!BL191*Calculateur!BN191*VLOOKUP('Données projet'!$B$11,Paramètres!$A$1:$I$89,3,0)*0.475*44/12</f>
        <v>4.2039710912428392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29.549936773860139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394.69391436029986</v>
      </c>
      <c r="T192" s="62">
        <f t="shared" si="142"/>
        <v>311.37245656657353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28.220396393355088</v>
      </c>
      <c r="AA192" s="23">
        <f>EXP(-LN(2)/25)*AA191+(1-EXP(-LN(2)/25))/(LN(2)/25)*Calculateur!V192*Calculateur!X192*VLOOKUP('Données projet'!$B$9,Paramètres!$A$1:$I$89,3,0)*0.475*44/12</f>
        <v>0.10873871589690987</v>
      </c>
      <c r="AB192" s="23">
        <f>EXP(-LN(2)/2)*AB191+(1-EXP(-LN(2)/2))/(LN(2)/2)*V192*Y192*VLOOKUP('Données projet'!$B$9,Paramètres!$A$1:$I$89,3,0)*0.475*44/12</f>
        <v>4.5413277738157048E-15</v>
      </c>
      <c r="AC192" s="24">
        <f t="shared" si="163"/>
        <v>28.329135109252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5.6843418860808015E-14</v>
      </c>
      <c r="AJ192" s="14">
        <f>AI192*VLOOKUP('Données projet'!$B$10,Paramètres!$A$1:$I$89,3,0)*VLOOKUP('Données projet'!$B$10,Paramètres!$A$1:$I$89,5,0)</f>
        <v>2.6602720026858149E-14</v>
      </c>
      <c r="AK192" s="14">
        <f t="shared" si="164"/>
        <v>4.6624771586320878E-13</v>
      </c>
      <c r="AL192" s="22">
        <f t="shared" si="165"/>
        <v>8.583811758418665E-13</v>
      </c>
      <c r="AM192" s="62">
        <f t="shared" si="113"/>
        <v>289.97763864700471</v>
      </c>
      <c r="AN192" s="62">
        <f ca="1">AVERAGE(OFFSET($AM$3,0,0,'Données projet'!$E$10+1,1))-AVERAGE(OFFSET($H$3,0,0,'Données projet'!$E$10+1,1))</f>
        <v>215.50514301701057</v>
      </c>
      <c r="AO192" s="62">
        <f t="shared" si="144"/>
        <v>273.18950868898253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10.500380252685652</v>
      </c>
      <c r="AV192" s="23">
        <f>EXP(-LN(2)/25)*AV191+(1-EXP(-LN(2)/25))/(LN(2)/25)*Calculateur!AQ192*Calculateur!AS192*VLOOKUP('Données projet'!$B$10,Paramètres!$A$1:$I$89,3,0)*0.475*44/12</f>
        <v>9.1880684877683402E-2</v>
      </c>
      <c r="AW192" s="23">
        <f>EXP(-LN(2)/2)*AW191+(1-EXP(-LN(2)/2))/(LN(2)/2)*AQ192*AT192*VLOOKUP('Données projet'!$B$10,Paramètres!$A$1:$I$89,3,0)*0.475*44/12</f>
        <v>1.1226620838805481E-18</v>
      </c>
      <c r="AX192" s="23">
        <f t="shared" si="166"/>
        <v>10.592260937563335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-1.1368683772161603E-13</v>
      </c>
      <c r="BE192" s="14">
        <f>BD192*VLOOKUP('Données projet'!$B$11,Paramètres!$A$1:$I$89,3,0)*VLOOKUP('Données projet'!$B$11,Paramètres!$A$1:$I$89,5,0)</f>
        <v>-1.1527845344971866E-13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396.06968288200386</v>
      </c>
      <c r="BJ192" s="62">
        <f t="shared" si="146"/>
        <v>273.35778700650792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24.848946755093742</v>
      </c>
      <c r="BQ192" s="23">
        <f>EXP(-LN(2)/25)*BQ191+(1-EXP(-LN(2)/25))/(LN(2)/25)*Calculateur!BL192*Calculateur!BN192*VLOOKUP('Données projet'!$B$11,Paramètres!$A$1:$I$89,3,0)*0.475*44/12</f>
        <v>4.0890132806755721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28.937960035769315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394.69391436029986</v>
      </c>
      <c r="T193" s="62">
        <f t="shared" si="142"/>
        <v>311.37245656657353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27.667011632823577</v>
      </c>
      <c r="AA193" s="23">
        <f>EXP(-LN(2)/25)*AA192+(1-EXP(-LN(2)/25))/(LN(2)/25)*Calculateur!V193*Calculateur!X193*VLOOKUP('Données projet'!$B$9,Paramètres!$A$1:$I$89,3,0)*0.475*44/12</f>
        <v>0.10576524999238832</v>
      </c>
      <c r="AB193" s="23">
        <f>EXP(-LN(2)/2)*AB192+(1-EXP(-LN(2)/2))/(LN(2)/2)*V193*Y193*VLOOKUP('Données projet'!$B$9,Paramètres!$A$1:$I$89,3,0)*0.475*44/12</f>
        <v>3.2112036644558926E-15</v>
      </c>
      <c r="AC193" s="24">
        <f t="shared" si="163"/>
        <v>27.772776882815968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5.6843418860808015E-14</v>
      </c>
      <c r="AJ193" s="14">
        <f>AI193*VLOOKUP('Données projet'!$B$10,Paramètres!$A$1:$I$89,3,0)*VLOOKUP('Données projet'!$B$10,Paramètres!$A$1:$I$89,5,0)</f>
        <v>2.6602720026858149E-14</v>
      </c>
      <c r="AK193" s="14">
        <f t="shared" si="164"/>
        <v>4.6624771586320878E-13</v>
      </c>
      <c r="AL193" s="22">
        <f t="shared" si="165"/>
        <v>8.583811758418665E-13</v>
      </c>
      <c r="AM193" s="62">
        <f t="shared" si="113"/>
        <v>290.03585244760313</v>
      </c>
      <c r="AN193" s="62">
        <f ca="1">AVERAGE(OFFSET($AM$3,0,0,'Données projet'!$E$10+1,1))-AVERAGE(OFFSET($H$3,0,0,'Données projet'!$E$10+1,1))</f>
        <v>215.50514301701057</v>
      </c>
      <c r="AO193" s="62">
        <f t="shared" si="144"/>
        <v>273.18950868898253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10.294474200530038</v>
      </c>
      <c r="AV193" s="23">
        <f>EXP(-LN(2)/25)*AV192+(1-EXP(-LN(2)/25))/(LN(2)/25)*Calculateur!AQ193*Calculateur!AS193*VLOOKUP('Données projet'!$B$10,Paramètres!$A$1:$I$89,3,0)*0.475*44/12</f>
        <v>8.9368202717907921E-2</v>
      </c>
      <c r="AW193" s="23">
        <f>EXP(-LN(2)/2)*AW192+(1-EXP(-LN(2)/2))/(LN(2)/2)*AQ193*AT193*VLOOKUP('Données projet'!$B$10,Paramètres!$A$1:$I$89,3,0)*0.475*44/12</f>
        <v>7.938419724929562E-19</v>
      </c>
      <c r="AX193" s="23">
        <f t="shared" si="166"/>
        <v>10.383842403247947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-1.1368683772161603E-13</v>
      </c>
      <c r="BE193" s="14">
        <f>BD193*VLOOKUP('Données projet'!$B$11,Paramètres!$A$1:$I$89,3,0)*VLOOKUP('Données projet'!$B$11,Paramètres!$A$1:$I$89,5,0)</f>
        <v>-1.1527845344971866E-13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396.06968288200386</v>
      </c>
      <c r="BJ193" s="62">
        <f t="shared" si="146"/>
        <v>273.35778700650792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24.361674065587309</v>
      </c>
      <c r="BQ193" s="23">
        <f>EXP(-LN(2)/25)*BQ192+(1-EXP(-LN(2)/25))/(LN(2)/25)*Calculateur!BL193*Calculateur!BN193*VLOOKUP('Données projet'!$B$11,Paramètres!$A$1:$I$89,3,0)*0.475*44/12</f>
        <v>3.9771989974836357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28.338873063070945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394.69391436029986</v>
      </c>
      <c r="T194" s="62">
        <f t="shared" si="142"/>
        <v>311.37245656657353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27.124478409914715</v>
      </c>
      <c r="AA194" s="23">
        <f>EXP(-LN(2)/25)*AA193+(1-EXP(-LN(2)/25))/(LN(2)/25)*Calculateur!V194*Calculateur!X194*VLOOKUP('Données projet'!$B$9,Paramètres!$A$1:$I$89,3,0)*0.475*44/12</f>
        <v>0.10287309366939369</v>
      </c>
      <c r="AB194" s="23">
        <f>EXP(-LN(2)/2)*AB193+(1-EXP(-LN(2)/2))/(LN(2)/2)*V194*Y194*VLOOKUP('Données projet'!$B$9,Paramètres!$A$1:$I$89,3,0)*0.475*44/12</f>
        <v>2.2706638869078524E-15</v>
      </c>
      <c r="AC194" s="24">
        <f t="shared" si="163"/>
        <v>27.227351503584114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5.6843418860808015E-14</v>
      </c>
      <c r="AJ194" s="14">
        <f>AI194*VLOOKUP('Données projet'!$B$10,Paramètres!$A$1:$I$89,3,0)*VLOOKUP('Données projet'!$B$10,Paramètres!$A$1:$I$89,5,0)</f>
        <v>2.6602720026858149E-14</v>
      </c>
      <c r="AK194" s="14">
        <f t="shared" si="164"/>
        <v>4.6624771586320878E-13</v>
      </c>
      <c r="AL194" s="22">
        <f t="shared" si="165"/>
        <v>8.583811758418665E-13</v>
      </c>
      <c r="AM194" s="62">
        <f t="shared" si="113"/>
        <v>290.0930563689077</v>
      </c>
      <c r="AN194" s="62">
        <f ca="1">AVERAGE(OFFSET($AM$3,0,0,'Données projet'!$E$10+1,1))-AVERAGE(OFFSET($H$3,0,0,'Données projet'!$E$10+1,1))</f>
        <v>215.50514301701057</v>
      </c>
      <c r="AO194" s="62">
        <f t="shared" si="144"/>
        <v>273.18950868898253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10.092605840466906</v>
      </c>
      <c r="AV194" s="23">
        <f>EXP(-LN(2)/25)*AV193+(1-EXP(-LN(2)/25))/(LN(2)/25)*Calculateur!AQ194*Calculateur!AS194*VLOOKUP('Données projet'!$B$10,Paramètres!$A$1:$I$89,3,0)*0.475*44/12</f>
        <v>8.6924424514917206E-2</v>
      </c>
      <c r="AW194" s="23">
        <f>EXP(-LN(2)/2)*AW193+(1-EXP(-LN(2)/2))/(LN(2)/2)*AQ194*AT194*VLOOKUP('Données projet'!$B$10,Paramètres!$A$1:$I$89,3,0)*0.475*44/12</f>
        <v>5.6133104194027405E-19</v>
      </c>
      <c r="AX194" s="23">
        <f t="shared" si="166"/>
        <v>10.179530264981823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-1.1368683772161603E-13</v>
      </c>
      <c r="BE194" s="14">
        <f>BD194*VLOOKUP('Données projet'!$B$11,Paramètres!$A$1:$I$89,3,0)*VLOOKUP('Données projet'!$B$11,Paramètres!$A$1:$I$89,5,0)</f>
        <v>-1.1527845344971866E-13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396.06968288200386</v>
      </c>
      <c r="BJ194" s="62">
        <f t="shared" si="146"/>
        <v>273.35778700650792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23.883956496315101</v>
      </c>
      <c r="BQ194" s="23">
        <f>EXP(-LN(2)/25)*BQ193+(1-EXP(-LN(2)/25))/(LN(2)/25)*Calculateur!BL194*Calculateur!BN194*VLOOKUP('Données projet'!$B$11,Paramètres!$A$1:$I$89,3,0)*0.475*44/12</f>
        <v>3.8684422817456405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27.752398778060741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394.69391436029986</v>
      </c>
      <c r="T195" s="62">
        <f t="shared" si="142"/>
        <v>311.37245656657353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26.592583932594504</v>
      </c>
      <c r="AA195" s="23">
        <f>EXP(-LN(2)/25)*AA194+(1-EXP(-LN(2)/25))/(LN(2)/25)*Calculateur!V195*Calculateur!X195*VLOOKUP('Données projet'!$B$9,Paramètres!$A$1:$I$89,3,0)*0.475*44/12</f>
        <v>0.10006002351314325</v>
      </c>
      <c r="AB195" s="23">
        <f>EXP(-LN(2)/2)*AB194+(1-EXP(-LN(2)/2))/(LN(2)/2)*V195*Y195*VLOOKUP('Données projet'!$B$9,Paramètres!$A$1:$I$89,3,0)*0.475*44/12</f>
        <v>1.6056018322279463E-15</v>
      </c>
      <c r="AC195" s="24">
        <f t="shared" si="163"/>
        <v>26.692643956107649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5.6843418860808015E-14</v>
      </c>
      <c r="AJ195" s="14">
        <f>AI195*VLOOKUP('Données projet'!$B$10,Paramètres!$A$1:$I$89,3,0)*VLOOKUP('Données projet'!$B$10,Paramètres!$A$1:$I$89,5,0)</f>
        <v>2.6602720026858149E-14</v>
      </c>
      <c r="AK195" s="14">
        <f t="shared" si="164"/>
        <v>4.6624771586320878E-13</v>
      </c>
      <c r="AL195" s="22">
        <f t="shared" si="165"/>
        <v>8.583811758418665E-13</v>
      </c>
      <c r="AM195" s="62">
        <f t="shared" si="113"/>
        <v>290.14926793006651</v>
      </c>
      <c r="AN195" s="62">
        <f ca="1">AVERAGE(OFFSET($AM$3,0,0,'Données projet'!$E$10+1,1))-AVERAGE(OFFSET($H$3,0,0,'Données projet'!$E$10+1,1))</f>
        <v>215.50514301701057</v>
      </c>
      <c r="AO195" s="62">
        <f t="shared" si="144"/>
        <v>273.18950868898253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9.8946959958170702</v>
      </c>
      <c r="AV195" s="23">
        <f>EXP(-LN(2)/25)*AV194+(1-EXP(-LN(2)/25))/(LN(2)/25)*Calculateur!AQ195*Calculateur!AS195*VLOOKUP('Données projet'!$B$10,Paramètres!$A$1:$I$89,3,0)*0.475*44/12</f>
        <v>8.4547471555399975E-2</v>
      </c>
      <c r="AW195" s="23">
        <f>EXP(-LN(2)/2)*AW194+(1-EXP(-LN(2)/2))/(LN(2)/2)*AQ195*AT195*VLOOKUP('Données projet'!$B$10,Paramètres!$A$1:$I$89,3,0)*0.475*44/12</f>
        <v>3.969209862464781E-19</v>
      </c>
      <c r="AX195" s="23">
        <f t="shared" si="166"/>
        <v>9.9792434673724699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-1.1368683772161603E-13</v>
      </c>
      <c r="BE195" s="14">
        <f>BD195*VLOOKUP('Données projet'!$B$11,Paramètres!$A$1:$I$89,3,0)*VLOOKUP('Données projet'!$B$11,Paramètres!$A$1:$I$89,5,0)</f>
        <v>-1.1527845344971866E-13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396.06968288200386</v>
      </c>
      <c r="BJ195" s="62">
        <f t="shared" si="146"/>
        <v>273.35778700650792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23.415606677197374</v>
      </c>
      <c r="BQ195" s="23">
        <f>EXP(-LN(2)/25)*BQ194+(1-EXP(-LN(2)/25))/(LN(2)/25)*Calculateur!BL195*Calculateur!BN195*VLOOKUP('Données projet'!$B$11,Paramètres!$A$1:$I$89,3,0)*0.475*44/12</f>
        <v>3.7626595241187677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27.178266201316141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394.69391436029986</v>
      </c>
      <c r="T196" s="62">
        <f t="shared" si="142"/>
        <v>311.37245656657353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26.071119581550946</v>
      </c>
      <c r="AA196" s="23">
        <f>EXP(-LN(2)/25)*AA195+(1-EXP(-LN(2)/25))/(LN(2)/25)*Calculateur!V196*Calculateur!X196*VLOOKUP('Données projet'!$B$9,Paramètres!$A$1:$I$89,3,0)*0.475*44/12</f>
        <v>9.7323876908248397E-2</v>
      </c>
      <c r="AB196" s="23">
        <f>EXP(-LN(2)/2)*AB195+(1-EXP(-LN(2)/2))/(LN(2)/2)*V196*Y196*VLOOKUP('Données projet'!$B$9,Paramètres!$A$1:$I$89,3,0)*0.475*44/12</f>
        <v>1.1353319434539262E-15</v>
      </c>
      <c r="AC196" s="24">
        <f t="shared" si="163"/>
        <v>26.168443458459194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5.6843418860808015E-14</v>
      </c>
      <c r="AJ196" s="14">
        <f>AI196*VLOOKUP('Données projet'!$B$10,Paramètres!$A$1:$I$89,3,0)*VLOOKUP('Données projet'!$B$10,Paramètres!$A$1:$I$89,5,0)</f>
        <v>2.6602720026858149E-14</v>
      </c>
      <c r="AK196" s="14">
        <f t="shared" si="164"/>
        <v>4.6624771586320878E-13</v>
      </c>
      <c r="AL196" s="22">
        <f t="shared" si="165"/>
        <v>8.583811758418665E-13</v>
      </c>
      <c r="AM196" s="62">
        <f t="shared" ref="AM196:AM203" si="193">AL196+(AD196+AE196)*44/12</f>
        <v>290.20450434630936</v>
      </c>
      <c r="AN196" s="62">
        <f ca="1">AVERAGE(OFFSET($AM$3,0,0,'Données projet'!$E$10+1,1))-AVERAGE(OFFSET($H$3,0,0,'Données projet'!$E$10+1,1))</f>
        <v>215.50514301701057</v>
      </c>
      <c r="AO196" s="62">
        <f t="shared" si="144"/>
        <v>273.18950868898253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9.7006670425077317</v>
      </c>
      <c r="AV196" s="23">
        <f>EXP(-LN(2)/25)*AV195+(1-EXP(-LN(2)/25))/(LN(2)/25)*Calculateur!AQ196*Calculateur!AS196*VLOOKUP('Données projet'!$B$10,Paramètres!$A$1:$I$89,3,0)*0.475*44/12</f>
        <v>8.2235516499559264E-2</v>
      </c>
      <c r="AW196" s="23">
        <f>EXP(-LN(2)/2)*AW195+(1-EXP(-LN(2)/2))/(LN(2)/2)*AQ196*AT196*VLOOKUP('Données projet'!$B$10,Paramètres!$A$1:$I$89,3,0)*0.475*44/12</f>
        <v>2.8066552097013702E-19</v>
      </c>
      <c r="AX196" s="23">
        <f t="shared" si="166"/>
        <v>9.7829025590072902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-1.1368683772161603E-13</v>
      </c>
      <c r="BE196" s="14">
        <f>BD196*VLOOKUP('Données projet'!$B$11,Paramètres!$A$1:$I$89,3,0)*VLOOKUP('Données projet'!$B$11,Paramètres!$A$1:$I$89,5,0)</f>
        <v>-1.1527845344971866E-13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396.06968288200386</v>
      </c>
      <c r="BJ196" s="62">
        <f t="shared" si="146"/>
        <v>273.35778700650792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22.956440912367366</v>
      </c>
      <c r="BQ196" s="23">
        <f>EXP(-LN(2)/25)*BQ195+(1-EXP(-LN(2)/25))/(LN(2)/25)*Calculateur!BL196*Calculateur!BN196*VLOOKUP('Données projet'!$B$11,Paramètres!$A$1:$I$89,3,0)*0.475*44/12</f>
        <v>3.6597694015620754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26.616210313929443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394.69391436029986</v>
      </c>
      <c r="T197" s="62">
        <f t="shared" ref="T197:T203" si="204">$T$3</f>
        <v>311.37245656657353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25.559880828369504</v>
      </c>
      <c r="AA197" s="23">
        <f>EXP(-LN(2)/25)*AA196+(1-EXP(-LN(2)/25))/(LN(2)/25)*Calculateur!V197*Calculateur!X197*VLOOKUP('Données projet'!$B$9,Paramètres!$A$1:$I$89,3,0)*0.475*44/12</f>
        <v>9.4662550376152094E-2</v>
      </c>
      <c r="AB197" s="23">
        <f>EXP(-LN(2)/2)*AB196+(1-EXP(-LN(2)/2))/(LN(2)/2)*V197*Y197*VLOOKUP('Données projet'!$B$9,Paramètres!$A$1:$I$89,3,0)*0.475*44/12</f>
        <v>8.0280091611397315E-16</v>
      </c>
      <c r="AC197" s="24">
        <f t="shared" si="163"/>
        <v>25.654543378745657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5.6843418860808015E-14</v>
      </c>
      <c r="AJ197" s="14">
        <f>AI197*VLOOKUP('Données projet'!$B$10,Paramètres!$A$1:$I$89,3,0)*VLOOKUP('Données projet'!$B$10,Paramètres!$A$1:$I$89,5,0)</f>
        <v>2.6602720026858149E-14</v>
      </c>
      <c r="AK197" s="14">
        <f t="shared" si="164"/>
        <v>4.6624771586320878E-13</v>
      </c>
      <c r="AL197" s="22">
        <f t="shared" si="165"/>
        <v>8.583811758418665E-13</v>
      </c>
      <c r="AM197" s="62">
        <f t="shared" si="193"/>
        <v>290.25878253422059</v>
      </c>
      <c r="AN197" s="62">
        <f ca="1">AVERAGE(OFFSET($AM$3,0,0,'Données projet'!$E$10+1,1))-AVERAGE(OFFSET($H$3,0,0,'Données projet'!$E$10+1,1))</f>
        <v>215.50514301701057</v>
      </c>
      <c r="AO197" s="62">
        <f t="shared" ref="AO197:AO203" si="205">$AO$3</f>
        <v>273.18950868898253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9.5104428786268134</v>
      </c>
      <c r="AV197" s="23">
        <f>EXP(-LN(2)/25)*AV196+(1-EXP(-LN(2)/25))/(LN(2)/25)*Calculateur!AQ197*Calculateur!AS197*VLOOKUP('Données projet'!$B$10,Paramètres!$A$1:$I$89,3,0)*0.475*44/12</f>
        <v>7.998678197630095E-2</v>
      </c>
      <c r="AW197" s="23">
        <f>EXP(-LN(2)/2)*AW196+(1-EXP(-LN(2)/2))/(LN(2)/2)*AQ197*AT197*VLOOKUP('Données projet'!$B$10,Paramètres!$A$1:$I$89,3,0)*0.475*44/12</f>
        <v>1.9846049312323905E-19</v>
      </c>
      <c r="AX197" s="23">
        <f t="shared" si="166"/>
        <v>9.5904296606031139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-1.1368683772161603E-13</v>
      </c>
      <c r="BE197" s="14">
        <f>BD197*VLOOKUP('Données projet'!$B$11,Paramètres!$A$1:$I$89,3,0)*VLOOKUP('Données projet'!$B$11,Paramètres!$A$1:$I$89,5,0)</f>
        <v>-1.1527845344971866E-13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396.06968288200386</v>
      </c>
      <c r="BJ197" s="62">
        <f t="shared" ref="BJ197:BJ203" si="206">$BJ$3</f>
        <v>273.35778700650792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22.506279108122211</v>
      </c>
      <c r="BQ197" s="23">
        <f>EXP(-LN(2)/25)*BQ196+(1-EXP(-LN(2)/25))/(LN(2)/25)*Calculateur!BL197*Calculateur!BN197*VLOOKUP('Données projet'!$B$11,Paramètres!$A$1:$I$89,3,0)*0.475*44/12</f>
        <v>3.5596928148174523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26.065971922939664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394.69391436029986</v>
      </c>
      <c r="T198" s="62">
        <f t="shared" si="204"/>
        <v>311.37245656657353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25.058667155313099</v>
      </c>
      <c r="AA198" s="23">
        <f>EXP(-LN(2)/25)*AA197+(1-EXP(-LN(2)/25))/(LN(2)/25)*Calculateur!V198*Calculateur!X198*VLOOKUP('Données projet'!$B$9,Paramètres!$A$1:$I$89,3,0)*0.475*44/12</f>
        <v>9.207399795802905E-2</v>
      </c>
      <c r="AB198" s="23">
        <f>EXP(-LN(2)/2)*AB197+(1-EXP(-LN(2)/2))/(LN(2)/2)*V198*Y198*VLOOKUP('Données projet'!$B$9,Paramètres!$A$1:$I$89,3,0)*0.475*44/12</f>
        <v>5.676659717269631E-16</v>
      </c>
      <c r="AC198" s="24">
        <f t="shared" si="163"/>
        <v>25.150741153271127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5.6843418860808015E-14</v>
      </c>
      <c r="AJ198" s="14">
        <f>AI198*VLOOKUP('Données projet'!$B$10,Paramètres!$A$1:$I$89,3,0)*VLOOKUP('Données projet'!$B$10,Paramètres!$A$1:$I$89,5,0)</f>
        <v>2.6602720026858149E-14</v>
      </c>
      <c r="AK198" s="14">
        <f t="shared" si="164"/>
        <v>4.6624771586320878E-13</v>
      </c>
      <c r="AL198" s="22">
        <f t="shared" si="165"/>
        <v>8.583811758418665E-13</v>
      </c>
      <c r="AM198" s="62">
        <f t="shared" si="193"/>
        <v>290.31211911691935</v>
      </c>
      <c r="AN198" s="62">
        <f ca="1">AVERAGE(OFFSET($AM$3,0,0,'Données projet'!$E$10+1,1))-AVERAGE(OFFSET($H$3,0,0,'Données projet'!$E$10+1,1))</f>
        <v>215.50514301701057</v>
      </c>
      <c r="AO198" s="62">
        <f t="shared" si="205"/>
        <v>273.18950868898253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9.3239488945743165</v>
      </c>
      <c r="AV198" s="23">
        <f>EXP(-LN(2)/25)*AV197+(1-EXP(-LN(2)/25))/(LN(2)/25)*Calculateur!AQ198*Calculateur!AS198*VLOOKUP('Données projet'!$B$10,Paramètres!$A$1:$I$89,3,0)*0.475*44/12</f>
        <v>7.7799539216836952E-2</v>
      </c>
      <c r="AW198" s="23">
        <f>EXP(-LN(2)/2)*AW197+(1-EXP(-LN(2)/2))/(LN(2)/2)*AQ198*AT198*VLOOKUP('Données projet'!$B$10,Paramètres!$A$1:$I$89,3,0)*0.475*44/12</f>
        <v>1.4033276048506851E-19</v>
      </c>
      <c r="AX198" s="23">
        <f t="shared" si="166"/>
        <v>9.4017484337911537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-1.1368683772161603E-13</v>
      </c>
      <c r="BE198" s="14">
        <f>BD198*VLOOKUP('Données projet'!$B$11,Paramètres!$A$1:$I$89,3,0)*VLOOKUP('Données projet'!$B$11,Paramètres!$A$1:$I$89,5,0)</f>
        <v>-1.1527845344971866E-13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396.06968288200386</v>
      </c>
      <c r="BJ198" s="62">
        <f t="shared" si="206"/>
        <v>273.35778700650792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22.064944702286716</v>
      </c>
      <c r="BQ198" s="23">
        <f>EXP(-LN(2)/25)*BQ197+(1-EXP(-LN(2)/25))/(LN(2)/25)*Calculateur!BL198*Calculateur!BN198*VLOOKUP('Données projet'!$B$11,Paramètres!$A$1:$I$89,3,0)*0.475*44/12</f>
        <v>3.4623528276001596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25.527297529886877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394.69391436029986</v>
      </c>
      <c r="T199" s="62">
        <f t="shared" si="204"/>
        <v>311.37245656657353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24.567281976675176</v>
      </c>
      <c r="AA199" s="23">
        <f>EXP(-LN(2)/25)*AA198+(1-EXP(-LN(2)/25))/(LN(2)/25)*Calculateur!V199*Calculateur!X199*VLOOKUP('Données projet'!$B$9,Paramètres!$A$1:$I$89,3,0)*0.475*44/12</f>
        <v>8.9556229641905627E-2</v>
      </c>
      <c r="AB199" s="23">
        <f>EXP(-LN(2)/2)*AB198+(1-EXP(-LN(2)/2))/(LN(2)/2)*V199*Y199*VLOOKUP('Données projet'!$B$9,Paramètres!$A$1:$I$89,3,0)*0.475*44/12</f>
        <v>4.0140045805698657E-16</v>
      </c>
      <c r="AC199" s="24">
        <f t="shared" si="163"/>
        <v>24.656838206317083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5.6843418860808015E-14</v>
      </c>
      <c r="AJ199" s="14">
        <f>AI199*VLOOKUP('Données projet'!$B$10,Paramètres!$A$1:$I$89,3,0)*VLOOKUP('Données projet'!$B$10,Paramètres!$A$1:$I$89,5,0)</f>
        <v>2.6602720026858149E-14</v>
      </c>
      <c r="AK199" s="14">
        <f t="shared" si="164"/>
        <v>4.6624771586320878E-13</v>
      </c>
      <c r="AL199" s="22">
        <f t="shared" si="165"/>
        <v>8.583811758418665E-13</v>
      </c>
      <c r="AM199" s="62">
        <f t="shared" si="193"/>
        <v>290.36453042915105</v>
      </c>
      <c r="AN199" s="62">
        <f ca="1">AVERAGE(OFFSET($AM$3,0,0,'Données projet'!$E$10+1,1))-AVERAGE(OFFSET($H$3,0,0,'Données projet'!$E$10+1,1))</f>
        <v>215.50514301701057</v>
      </c>
      <c r="AO199" s="62">
        <f t="shared" si="205"/>
        <v>273.18950868898253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9.1411119437989914</v>
      </c>
      <c r="AV199" s="23">
        <f>EXP(-LN(2)/25)*AV198+(1-EXP(-LN(2)/25))/(LN(2)/25)*Calculateur!AQ199*Calculateur!AS199*VLOOKUP('Données projet'!$B$10,Paramètres!$A$1:$I$89,3,0)*0.475*44/12</f>
        <v>7.5672106725652596E-2</v>
      </c>
      <c r="AW199" s="23">
        <f>EXP(-LN(2)/2)*AW198+(1-EXP(-LN(2)/2))/(LN(2)/2)*AQ199*AT199*VLOOKUP('Données projet'!$B$10,Paramètres!$A$1:$I$89,3,0)*0.475*44/12</f>
        <v>9.9230246561619524E-20</v>
      </c>
      <c r="AX199" s="23">
        <f t="shared" si="166"/>
        <v>9.2167840505246446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-1.1368683772161603E-13</v>
      </c>
      <c r="BE199" s="14">
        <f>BD199*VLOOKUP('Données projet'!$B$11,Paramètres!$A$1:$I$89,3,0)*VLOOKUP('Données projet'!$B$11,Paramètres!$A$1:$I$89,5,0)</f>
        <v>-1.1527845344971866E-13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396.06968288200386</v>
      </c>
      <c r="BJ199" s="62">
        <f t="shared" si="206"/>
        <v>273.35778700650792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21.632264594962248</v>
      </c>
      <c r="BQ199" s="23">
        <f>EXP(-LN(2)/25)*BQ198+(1-EXP(-LN(2)/25))/(LN(2)/25)*Calculateur!BL199*Calculateur!BN199*VLOOKUP('Données projet'!$B$11,Paramètres!$A$1:$I$89,3,0)*0.475*44/12</f>
        <v>3.3676746074522113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24.99993920241446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394.69391436029986</v>
      </c>
      <c r="T200" s="62">
        <f t="shared" si="204"/>
        <v>311.37245656657353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24.085532561674977</v>
      </c>
      <c r="AA200" s="23">
        <f>EXP(-LN(2)/25)*AA199+(1-EXP(-LN(2)/25))/(LN(2)/25)*Calculateur!V200*Calculateur!X200*VLOOKUP('Données projet'!$B$9,Paramètres!$A$1:$I$89,3,0)*0.475*44/12</f>
        <v>8.7107309832790289E-2</v>
      </c>
      <c r="AB200" s="23">
        <f>EXP(-LN(2)/2)*AB199+(1-EXP(-LN(2)/2))/(LN(2)/2)*V200*Y200*VLOOKUP('Données projet'!$B$9,Paramètres!$A$1:$I$89,3,0)*0.475*44/12</f>
        <v>2.8383298586348155E-16</v>
      </c>
      <c r="AC200" s="24">
        <f t="shared" si="163"/>
        <v>24.172639871507769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5.6843418860808015E-14</v>
      </c>
      <c r="AJ200" s="14">
        <f>AI200*VLOOKUP('Données projet'!$B$10,Paramètres!$A$1:$I$89,3,0)*VLOOKUP('Données projet'!$B$10,Paramètres!$A$1:$I$89,5,0)</f>
        <v>2.6602720026858149E-14</v>
      </c>
      <c r="AK200" s="14">
        <f t="shared" si="164"/>
        <v>4.6624771586320878E-13</v>
      </c>
      <c r="AL200" s="22">
        <f t="shared" si="165"/>
        <v>8.583811758418665E-13</v>
      </c>
      <c r="AM200" s="62">
        <f t="shared" si="193"/>
        <v>290.41603252228964</v>
      </c>
      <c r="AN200" s="62">
        <f ca="1">AVERAGE(OFFSET($AM$3,0,0,'Données projet'!$E$10+1,1))-AVERAGE(OFFSET($H$3,0,0,'Données projet'!$E$10+1,1))</f>
        <v>215.50514301701057</v>
      </c>
      <c r="AO200" s="62">
        <f t="shared" si="205"/>
        <v>273.18950868898253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8.9618603141088418</v>
      </c>
      <c r="AV200" s="23">
        <f>EXP(-LN(2)/25)*AV199+(1-EXP(-LN(2)/25))/(LN(2)/25)*Calculateur!AQ200*Calculateur!AS200*VLOOKUP('Données projet'!$B$10,Paramètres!$A$1:$I$89,3,0)*0.475*44/12</f>
        <v>7.360284898781648E-2</v>
      </c>
      <c r="AW200" s="23">
        <f>EXP(-LN(2)/2)*AW199+(1-EXP(-LN(2)/2))/(LN(2)/2)*AQ200*AT200*VLOOKUP('Données projet'!$B$10,Paramètres!$A$1:$I$89,3,0)*0.475*44/12</f>
        <v>7.0166380242534256E-20</v>
      </c>
      <c r="AX200" s="23">
        <f t="shared" si="166"/>
        <v>9.035463163096658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-1.1368683772161603E-13</v>
      </c>
      <c r="BE200" s="14">
        <f>BD200*VLOOKUP('Données projet'!$B$11,Paramètres!$A$1:$I$89,3,0)*VLOOKUP('Données projet'!$B$11,Paramètres!$A$1:$I$89,5,0)</f>
        <v>-1.1527845344971866E-13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396.06968288200386</v>
      </c>
      <c r="BJ200" s="62">
        <f t="shared" si="206"/>
        <v>273.35778700650792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21.208069080633603</v>
      </c>
      <c r="BQ200" s="23">
        <f>EXP(-LN(2)/25)*BQ199+(1-EXP(-LN(2)/25))/(LN(2)/25)*Calculateur!BL200*Calculateur!BN200*VLOOKUP('Données projet'!$B$11,Paramètres!$A$1:$I$89,3,0)*0.475*44/12</f>
        <v>3.27558536821312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24.483654448846721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394.69391436029986</v>
      </c>
      <c r="T201" s="62">
        <f t="shared" si="204"/>
        <v>311.37245656657353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23.613229958864807</v>
      </c>
      <c r="AA201" s="23">
        <f>EXP(-LN(2)/25)*AA200+(1-EXP(-LN(2)/25))/(LN(2)/25)*Calculateur!V201*Calculateur!X201*VLOOKUP('Données projet'!$B$9,Paramètres!$A$1:$I$89,3,0)*0.475*44/12</f>
        <v>8.4725355864638308E-2</v>
      </c>
      <c r="AB201" s="23">
        <f>EXP(-LN(2)/2)*AB200+(1-EXP(-LN(2)/2))/(LN(2)/2)*V201*Y201*VLOOKUP('Données projet'!$B$9,Paramètres!$A$1:$I$89,3,0)*0.475*44/12</f>
        <v>2.0070022902849329E-16</v>
      </c>
      <c r="AC201" s="24">
        <f t="shared" si="163"/>
        <v>23.697955314729445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5.6843418860808015E-14</v>
      </c>
      <c r="AJ201" s="14">
        <f>AI201*VLOOKUP('Données projet'!$B$10,Paramètres!$A$1:$I$89,3,0)*VLOOKUP('Données projet'!$B$10,Paramètres!$A$1:$I$89,5,0)</f>
        <v>2.6602720026858149E-14</v>
      </c>
      <c r="AK201" s="14">
        <f t="shared" si="164"/>
        <v>4.6624771586320878E-13</v>
      </c>
      <c r="AL201" s="22">
        <f t="shared" si="165"/>
        <v>8.583811758418665E-13</v>
      </c>
      <c r="AM201" s="62">
        <f t="shared" si="193"/>
        <v>290.46664116925376</v>
      </c>
      <c r="AN201" s="62">
        <f ca="1">AVERAGE(OFFSET($AM$3,0,0,'Données projet'!$E$10+1,1))-AVERAGE(OFFSET($H$3,0,0,'Données projet'!$E$10+1,1))</f>
        <v>215.50514301701057</v>
      </c>
      <c r="AO201" s="62">
        <f t="shared" si="205"/>
        <v>273.18950868898253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8.7861236995442162</v>
      </c>
      <c r="AV201" s="23">
        <f>EXP(-LN(2)/25)*AV200+(1-EXP(-LN(2)/25))/(LN(2)/25)*Calculateur!AQ201*Calculateur!AS201*VLOOKUP('Données projet'!$B$10,Paramètres!$A$1:$I$89,3,0)*0.475*44/12</f>
        <v>7.1590175211639032E-2</v>
      </c>
      <c r="AW201" s="23">
        <f>EXP(-LN(2)/2)*AW200+(1-EXP(-LN(2)/2))/(LN(2)/2)*AQ201*AT201*VLOOKUP('Données projet'!$B$10,Paramètres!$A$1:$I$89,3,0)*0.475*44/12</f>
        <v>4.9615123280809762E-20</v>
      </c>
      <c r="AX201" s="23">
        <f t="shared" si="166"/>
        <v>8.8577138747558557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-1.1368683772161603E-13</v>
      </c>
      <c r="BE201" s="14">
        <f>BD201*VLOOKUP('Données projet'!$B$11,Paramètres!$A$1:$I$89,3,0)*VLOOKUP('Données projet'!$B$11,Paramètres!$A$1:$I$89,5,0)</f>
        <v>-1.1527845344971866E-13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396.06968288200386</v>
      </c>
      <c r="BJ201" s="62">
        <f t="shared" si="206"/>
        <v>273.35778700650792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20.792191781607229</v>
      </c>
      <c r="BQ201" s="23">
        <f>EXP(-LN(2)/25)*BQ200+(1-EXP(-LN(2)/25))/(LN(2)/25)*Calculateur!BL201*Calculateur!BN201*VLOOKUP('Données projet'!$B$11,Paramètres!$A$1:$I$89,3,0)*0.475*44/12</f>
        <v>3.186014314063784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23.978206095671013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394.69391436029986</v>
      </c>
      <c r="T202" s="62">
        <f t="shared" si="204"/>
        <v>311.37245656657353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23.150188922019598</v>
      </c>
      <c r="AA202" s="23">
        <f>EXP(-LN(2)/25)*AA201+(1-EXP(-LN(2)/25))/(LN(2)/25)*Calculateur!V202*Calculateur!X202*VLOOKUP('Données projet'!$B$9,Paramètres!$A$1:$I$89,3,0)*0.475*44/12</f>
        <v>8.240853655300695E-2</v>
      </c>
      <c r="AB202" s="23">
        <f>EXP(-LN(2)/2)*AB201+(1-EXP(-LN(2)/2))/(LN(2)/2)*V202*Y202*VLOOKUP('Données projet'!$B$9,Paramètres!$A$1:$I$89,3,0)*0.475*44/12</f>
        <v>1.4191649293174078E-16</v>
      </c>
      <c r="AC202" s="24">
        <f t="shared" si="163"/>
        <v>23.232597458572606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5.6843418860808015E-14</v>
      </c>
      <c r="AJ202" s="14">
        <f>AI202*VLOOKUP('Données projet'!$B$10,Paramètres!$A$1:$I$89,3,0)*VLOOKUP('Données projet'!$B$10,Paramètres!$A$1:$I$89,5,0)</f>
        <v>2.6602720026858149E-14</v>
      </c>
      <c r="AK202" s="14">
        <f t="shared" si="164"/>
        <v>4.6624771586320878E-13</v>
      </c>
      <c r="AL202" s="22">
        <f t="shared" si="165"/>
        <v>8.583811758418665E-13</v>
      </c>
      <c r="AM202" s="62">
        <f t="shared" si="193"/>
        <v>290.51637186933698</v>
      </c>
      <c r="AN202" s="62">
        <f ca="1">AVERAGE(OFFSET($AM$3,0,0,'Données projet'!$E$10+1,1))-AVERAGE(OFFSET($H$3,0,0,'Données projet'!$E$10+1,1))</f>
        <v>215.50514301701057</v>
      </c>
      <c r="AO202" s="62">
        <f t="shared" si="205"/>
        <v>273.18950868898253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8.6138331728024529</v>
      </c>
      <c r="AV202" s="23">
        <f>EXP(-LN(2)/25)*AV201+(1-EXP(-LN(2)/25))/(LN(2)/25)*Calculateur!AQ202*Calculateur!AS202*VLOOKUP('Données projet'!$B$10,Paramètres!$A$1:$I$89,3,0)*0.475*44/12</f>
        <v>6.9632538105713071E-2</v>
      </c>
      <c r="AW202" s="23">
        <f>EXP(-LN(2)/2)*AW201+(1-EXP(-LN(2)/2))/(LN(2)/2)*AQ202*AT202*VLOOKUP('Données projet'!$B$10,Paramètres!$A$1:$I$89,3,0)*0.475*44/12</f>
        <v>3.5083190121267128E-20</v>
      </c>
      <c r="AX202" s="23">
        <f t="shared" si="166"/>
        <v>8.6834657109081661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-1.1368683772161603E-13</v>
      </c>
      <c r="BE202" s="14">
        <f>BD202*VLOOKUP('Données projet'!$B$11,Paramètres!$A$1:$I$89,3,0)*VLOOKUP('Données projet'!$B$11,Paramètres!$A$1:$I$89,5,0)</f>
        <v>-1.1527845344971866E-13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396.06968288200386</v>
      </c>
      <c r="BJ202" s="62">
        <f t="shared" si="206"/>
        <v>273.35778700650792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20.384469582754658</v>
      </c>
      <c r="BQ202" s="23">
        <f>EXP(-LN(2)/25)*BQ201+(1-EXP(-LN(2)/25))/(LN(2)/25)*Calculateur!BL202*Calculateur!BN202*VLOOKUP('Données projet'!$B$11,Paramètres!$A$1:$I$89,3,0)*0.475*44/12</f>
        <v>3.0988925851004989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23.483362167855155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394.69391436029986</v>
      </c>
      <c r="T203" s="62">
        <f t="shared" si="204"/>
        <v>311.37245656657353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22.696227837479782</v>
      </c>
      <c r="AA203" s="23">
        <f>EXP(-LN(2)/25)*AA202+(1-EXP(-LN(2)/25))/(LN(2)/25)*Calculateur!V203*Calculateur!X203*VLOOKUP('Données projet'!$B$9,Paramètres!$A$1:$I$89,3,0)*0.475*44/12</f>
        <v>8.0155070787288382E-2</v>
      </c>
      <c r="AB203" s="23">
        <f>EXP(-LN(2)/2)*AB202+(1-EXP(-LN(2)/2))/(LN(2)/2)*V203*Y203*VLOOKUP('Données projet'!$B$9,Paramètres!$A$1:$I$89,3,0)*0.475*44/12</f>
        <v>1.0035011451424664E-16</v>
      </c>
      <c r="AC203" s="24">
        <f t="shared" si="163"/>
        <v>22.77638290826707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5.6843418860808015E-14</v>
      </c>
      <c r="AJ203" s="14">
        <f>AI203*VLOOKUP('Données projet'!$B$10,Paramètres!$A$1:$I$89,3,0)*VLOOKUP('Données projet'!$B$10,Paramètres!$A$1:$I$89,5,0)</f>
        <v>2.6602720026858149E-14</v>
      </c>
      <c r="AK203" s="14">
        <f t="shared" si="164"/>
        <v>4.6624771586320878E-13</v>
      </c>
      <c r="AL203" s="22">
        <f t="shared" si="165"/>
        <v>8.583811758418665E-13</v>
      </c>
      <c r="AM203" s="62">
        <f t="shared" si="193"/>
        <v>290.56523985295496</v>
      </c>
      <c r="AN203" s="62">
        <f ca="1">AVERAGE(OFFSET($AM$3,0,0,'Données projet'!$E$10+1,1))-AVERAGE(OFFSET($H$3,0,0,'Données projet'!$E$10+1,1))</f>
        <v>215.50514301701057</v>
      </c>
      <c r="AO203" s="62">
        <f t="shared" si="205"/>
        <v>273.18950868898253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8.4449211582032504</v>
      </c>
      <c r="AV203" s="23">
        <f>EXP(-LN(2)/25)*AV202+(1-EXP(-LN(2)/25))/(LN(2)/25)*Calculateur!AQ203*Calculateur!AS203*VLOOKUP('Données projet'!$B$10,Paramètres!$A$1:$I$89,3,0)*0.475*44/12</f>
        <v>6.7728432689396309E-2</v>
      </c>
      <c r="AW203" s="23">
        <f>EXP(-LN(2)/2)*AW202+(1-EXP(-LN(2)/2))/(LN(2)/2)*AQ203*AT203*VLOOKUP('Données projet'!$B$10,Paramètres!$A$1:$I$89,3,0)*0.475*44/12</f>
        <v>2.4807561640404881E-20</v>
      </c>
      <c r="AX203" s="23">
        <f t="shared" si="166"/>
        <v>8.5126495908926465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-1.1368683772161603E-13</v>
      </c>
      <c r="BE203" s="14">
        <f>BD203*VLOOKUP('Données projet'!$B$11,Paramètres!$A$1:$I$89,3,0)*VLOOKUP('Données projet'!$B$11,Paramètres!$A$1:$I$89,5,0)</f>
        <v>-1.1527845344971866E-13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396.06968288200386</v>
      </c>
      <c r="BJ203" s="62">
        <f t="shared" si="206"/>
        <v>273.35778700650792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19.984742567535598</v>
      </c>
      <c r="BQ203" s="23">
        <f>EXP(-LN(2)/25)*BQ202+(1-EXP(-LN(2)/25))/(LN(2)/25)*Calculateur!BL203*Calculateur!BN203*VLOOKUP('Données projet'!$B$11,Paramètres!$A$1:$I$89,3,0)*0.475*44/12</f>
        <v>3.0141532043972474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22.998895771932844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1.244502252163008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1.2880503926580862</v>
      </c>
      <c r="BA205" s="88">
        <f>EXP(LN('Données projet'!B88)/'Données projet'!A88)</f>
        <v>1.1852335095914694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laricio</v>
      </c>
      <c r="B6" s="155">
        <f>'Données projet'!D9</f>
        <v>7.798</v>
      </c>
      <c r="C6" s="156">
        <f ca="1">IF(OR('Données projet'!B9="",'Données projet'!C9="",'Données projet'!C9=0%),0,Calculateur!S3)</f>
        <v>394.69391436029986</v>
      </c>
      <c r="D6" s="156">
        <f>IF(OR('Données projet'!B9="",'Données projet'!C9="",'Données projet'!C9=0%),0,Calculateur!T3)</f>
        <v>311.37245656657353</v>
      </c>
      <c r="E6" s="156">
        <f ca="1">MIN(C6,D6)</f>
        <v>311.37245656657353</v>
      </c>
      <c r="F6" s="156">
        <f ca="1">E6*B6</f>
        <v>2428.0824163061402</v>
      </c>
      <c r="G6" s="156">
        <f ca="1">F6*(100%-'Données projet'!$C$24)*(100%-'Données projet'!$C$25)*(100%-'Données projet'!$C$26)*(100%-'Données projet'!$C$27)</f>
        <v>2185.2741746755264</v>
      </c>
      <c r="H6" s="157">
        <f>IF(OR('Données projet'!B9="",'Données projet'!C9="",'Données projet'!C9=0%),0,AVERAGE(Calculateur!$AC$3:$AC$33)*B6)</f>
        <v>22.779057613593611</v>
      </c>
      <c r="I6" s="158">
        <f>H6*(100%-'Données projet'!$C$24)*(100%-'Données projet'!$C$25)*(100%-'Données projet'!$C$26)*(100%-'Données projet'!$C$27)</f>
        <v>20.501151852234251</v>
      </c>
      <c r="J6" s="159">
        <f>IF(OR('Données projet'!B9="",'Données projet'!C9="",'Données projet'!C9=0%),0,SUM(Calculateur!$V$3:$V$33)*VLOOKUP('Données projet'!$B$9,Paramètres!$A$1:$I$89,9,0)*B6)</f>
        <v>224.66038</v>
      </c>
      <c r="K6" s="160">
        <f>J6*(100%-'Données projet'!$C$24)*(100%-'Données projet'!$C$25)*(100%-'Données projet'!$C$26)*(100%-'Données projet'!$C$27)</f>
        <v>202.19434200000001</v>
      </c>
      <c r="L6" s="161">
        <f ca="1">G6+I6+K6</f>
        <v>2407.9696685277604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Cèdre de l'Atlas</v>
      </c>
      <c r="B7" s="163">
        <f>'Données projet'!D10</f>
        <v>1.3368</v>
      </c>
      <c r="C7" s="156">
        <f ca="1">IF(OR('Données projet'!B10="",'Données projet'!C10="",'Données projet'!C10=0%),0,Calculateur!AN3)</f>
        <v>215.50514301701057</v>
      </c>
      <c r="D7" s="156">
        <f>IF(OR('Données projet'!B10="",'Données projet'!C10="",'Données projet'!C10=0%),0,Calculateur!AO3)</f>
        <v>273.18950868898253</v>
      </c>
      <c r="E7" s="156">
        <f t="shared" ref="E7:E15" ca="1" si="0">MIN(C7,D7)</f>
        <v>215.50514301701057</v>
      </c>
      <c r="F7" s="156">
        <f t="shared" ref="F7:F15" ca="1" si="1">E7*B7</f>
        <v>288.08727518513973</v>
      </c>
      <c r="G7" s="156">
        <f ca="1">F7*(100%-'Données projet'!$C$24)*(100%-'Données projet'!$C$25)*(100%-'Données projet'!$C$26)*(100%-'Données projet'!$C$27)</f>
        <v>259.27854766662574</v>
      </c>
      <c r="H7" s="164">
        <f>IF(OR('Données projet'!B10="",'Données projet'!C10="",'Données projet'!C10=0%),0,AVERAGE(Calculateur!$AX$3:$AX$33)*B7)</f>
        <v>4.1381019642649415</v>
      </c>
      <c r="I7" s="158">
        <f>H7*(100%-'Données projet'!$C$24)*(100%-'Données projet'!$C$25)*(100%-'Données projet'!$C$26)*(100%-'Données projet'!$C$27)</f>
        <v>3.7242917678384475</v>
      </c>
      <c r="J7" s="159">
        <f>IF(OR('Données projet'!B10="",'Données projet'!C10="",'Données projet'!C10=0%),0,SUM(Calculateur!$AQ$3:$AQ$33)*VLOOKUP('Données projet'!$B$10,Paramètres!$A$1:$I$89,9,0)*B7)</f>
        <v>53.171219999999998</v>
      </c>
      <c r="K7" s="160">
        <f>J7*(100%-'Données projet'!$C$24)*(100%-'Données projet'!$C$25)*(100%-'Données projet'!$C$26)*(100%-'Données projet'!$C$27)</f>
        <v>47.854098</v>
      </c>
      <c r="L7" s="161">
        <f t="shared" ref="L7:L15" ca="1" si="2">G7+I7+K7</f>
        <v>310.85693743446421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Chêne pubescent</v>
      </c>
      <c r="B8" s="163">
        <f>'Données projet'!D11</f>
        <v>2.0051999999999999</v>
      </c>
      <c r="C8" s="156">
        <f ca="1">IF(OR('Données projet'!B11="",'Données projet'!C11="",'Données projet'!C11=0%),0,Calculateur!BI3)</f>
        <v>396.06968288200386</v>
      </c>
      <c r="D8" s="156">
        <f>IF(OR('Données projet'!B11="",'Données projet'!C11="",'Données projet'!C11=0%),0,Calculateur!BJ3)</f>
        <v>273.35778700650792</v>
      </c>
      <c r="E8" s="156">
        <f t="shared" ca="1" si="0"/>
        <v>273.35778700650792</v>
      </c>
      <c r="F8" s="156">
        <f t="shared" ca="1" si="1"/>
        <v>548.13703450544961</v>
      </c>
      <c r="G8" s="156">
        <f ca="1">F8*(100%-'Données projet'!$C$24)*(100%-'Données projet'!$C$25)*(100%-'Données projet'!$C$26)*(100%-'Données projet'!$C$27)</f>
        <v>493.32333105490466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14.537699999999999</v>
      </c>
      <c r="K8" s="160">
        <f>J8*(100%-'Données projet'!$C$24)*(100%-'Données projet'!$C$25)*(100%-'Données projet'!$C$26)*(100%-'Données projet'!$C$27)</f>
        <v>13.083929999999999</v>
      </c>
      <c r="L8" s="161">
        <f t="shared" ca="1" si="2"/>
        <v>506.40726105490467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3264.3067259967297</v>
      </c>
      <c r="G16" s="175">
        <f t="shared" ca="1" si="3"/>
        <v>2937.8760533970571</v>
      </c>
      <c r="H16" s="176">
        <f t="shared" si="3"/>
        <v>26.917159577858552</v>
      </c>
      <c r="I16" s="176">
        <f t="shared" si="3"/>
        <v>24.225443620072699</v>
      </c>
      <c r="J16" s="177">
        <f t="shared" si="3"/>
        <v>292.36929999999995</v>
      </c>
      <c r="K16" s="177">
        <f t="shared" si="3"/>
        <v>263.13236999999998</v>
      </c>
      <c r="L16" s="178">
        <f t="shared" ca="1" si="3"/>
        <v>3225.2338670171293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laricio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Cèdre de l'Atlas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Chêne pubescent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M40" sqref="M40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laricio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776.08806004503981</v>
      </c>
      <c r="U10" s="190">
        <f>'Données projet'!D9</f>
        <v>7.798</v>
      </c>
      <c r="V10" s="189">
        <f>U10*T10</f>
        <v>6051.9346922312207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Cèdre de l'Atlas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1357.5336674170212</v>
      </c>
      <c r="U11" s="190">
        <f>'Données projet'!D10</f>
        <v>1.3368</v>
      </c>
      <c r="V11" s="189">
        <f t="shared" ref="V11" si="0">U11*T11</f>
        <v>1814.7510066030738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Chêne pubescent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879.43716983247407</v>
      </c>
      <c r="U12" s="190">
        <f>'Données projet'!D11</f>
        <v>2.0051999999999999</v>
      </c>
      <c r="V12" s="189">
        <f t="shared" ref="V12:V19" si="1">U12*T12</f>
        <v>1763.4474129480768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laricio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>
        <v>1449</v>
      </c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4061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587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587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22</v>
      </c>
      <c r="B23" s="193">
        <f>'Données projet'!D36</f>
        <v>16</v>
      </c>
      <c r="C23" s="206">
        <v>4</v>
      </c>
      <c r="D23" s="194">
        <f>B23*C23</f>
        <v>64</v>
      </c>
      <c r="E23" s="206"/>
      <c r="F23" s="261"/>
      <c r="H23" s="203">
        <v>3</v>
      </c>
      <c r="I23" s="204">
        <v>587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-64316.255015854505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25</v>
      </c>
      <c r="B24" s="193">
        <f>'Données projet'!D37</f>
        <v>17</v>
      </c>
      <c r="C24" s="206">
        <v>10</v>
      </c>
      <c r="D24" s="194">
        <f t="shared" ref="D24:D42" si="2">B24*C24</f>
        <v>170</v>
      </c>
      <c r="E24" s="206"/>
      <c r="F24" s="264"/>
      <c r="H24" s="203">
        <v>4</v>
      </c>
      <c r="I24" s="204">
        <v>587</v>
      </c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51343.131452695561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34</v>
      </c>
      <c r="C25" s="206">
        <v>10</v>
      </c>
      <c r="D25" s="194">
        <f t="shared" si="2"/>
        <v>340</v>
      </c>
      <c r="E25" s="206"/>
      <c r="F25" s="264"/>
      <c r="G25" s="1"/>
      <c r="H25" s="203">
        <v>5</v>
      </c>
      <c r="I25" s="204">
        <v>587</v>
      </c>
      <c r="K25" s="225"/>
      <c r="L25" s="271" t="s">
        <v>285</v>
      </c>
      <c r="M25" s="271"/>
      <c r="N25" s="271"/>
      <c r="O25" s="271"/>
      <c r="P25" s="205">
        <v>213</v>
      </c>
      <c r="Q25" s="265"/>
      <c r="R25" s="25"/>
      <c r="S25" s="198" t="s">
        <v>266</v>
      </c>
      <c r="T25" s="336">
        <f ca="1">T23-T24</f>
        <v>-115659.38646855007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35</v>
      </c>
      <c r="B26" s="193">
        <f>'Données projet'!D39</f>
        <v>41</v>
      </c>
      <c r="C26" s="206">
        <v>20</v>
      </c>
      <c r="D26" s="194">
        <f t="shared" si="2"/>
        <v>820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40</v>
      </c>
      <c r="B27" s="193">
        <f>'Données projet'!D40</f>
        <v>41</v>
      </c>
      <c r="C27" s="206">
        <v>20</v>
      </c>
      <c r="D27" s="194">
        <f t="shared" si="2"/>
        <v>820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45</v>
      </c>
      <c r="B28" s="193">
        <f>'Données projet'!D41</f>
        <v>53</v>
      </c>
      <c r="C28" s="206">
        <v>40</v>
      </c>
      <c r="D28" s="194">
        <f t="shared" si="2"/>
        <v>2120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50</v>
      </c>
      <c r="B29" s="193">
        <f>'Données projet'!D42</f>
        <v>53</v>
      </c>
      <c r="C29" s="206">
        <v>40</v>
      </c>
      <c r="D29" s="194">
        <f t="shared" si="2"/>
        <v>2120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58</v>
      </c>
      <c r="B30" s="193">
        <f>'Données projet'!D43</f>
        <v>78</v>
      </c>
      <c r="C30" s="206">
        <v>40</v>
      </c>
      <c r="D30" s="194">
        <f t="shared" si="2"/>
        <v>3120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4608.8986941378416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66</v>
      </c>
      <c r="B31" s="193">
        <f>'Données projet'!D44</f>
        <v>65</v>
      </c>
      <c r="C31" s="206">
        <v>40</v>
      </c>
      <c r="D31" s="194">
        <f t="shared" si="2"/>
        <v>2600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74</v>
      </c>
      <c r="B32" s="193">
        <f>'Données projet'!D45</f>
        <v>37</v>
      </c>
      <c r="C32" s="206">
        <v>40</v>
      </c>
      <c r="D32" s="194">
        <f t="shared" si="2"/>
        <v>1480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82</v>
      </c>
      <c r="B33" s="193">
        <f>'Données projet'!D46</f>
        <v>567</v>
      </c>
      <c r="C33" s="206">
        <v>50</v>
      </c>
      <c r="D33" s="194">
        <f t="shared" si="2"/>
        <v>28350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213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203.82775119617227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195.050479613562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186.65117666369568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178.61356618535478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170.92207290464572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163.56179225324954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156.51846148636318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149.77843204436672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143.32864310465715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137.15659627239921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131.25033136114757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Cèdre de l'Atlas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125.5984032164092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120.18985953723367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115.01421965285522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>
        <v>531</v>
      </c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110.06145421325857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105.32196575431446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100.78657009982246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96.446478564423415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92.293280922893231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88.318929112816505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20</v>
      </c>
      <c r="B54" s="193">
        <f>'Données projet'!D62</f>
        <v>39.5</v>
      </c>
      <c r="C54" s="204">
        <v>4</v>
      </c>
      <c r="D54" s="191">
        <f>B54*C54</f>
        <v>158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84.515721639058853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30</v>
      </c>
      <c r="B55" s="193">
        <f>'Données projet'!D63</f>
        <v>53</v>
      </c>
      <c r="C55" s="204">
        <v>10</v>
      </c>
      <c r="D55" s="191">
        <f t="shared" ref="D55:D73" si="4">B55*C55</f>
        <v>530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80.876288649817113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40</v>
      </c>
      <c r="B56" s="193">
        <f>'Données projet'!D64</f>
        <v>64</v>
      </c>
      <c r="C56" s="204">
        <v>20</v>
      </c>
      <c r="D56" s="191">
        <f t="shared" si="4"/>
        <v>1280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77.393577655327377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50</v>
      </c>
      <c r="B57" s="193">
        <f>'Données projet'!D65</f>
        <v>77</v>
      </c>
      <c r="C57" s="204">
        <v>35</v>
      </c>
      <c r="D57" s="191">
        <f t="shared" si="4"/>
        <v>2695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74.060839861557312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60</v>
      </c>
      <c r="B58" s="193">
        <f>'Données projet'!D66</f>
        <v>366</v>
      </c>
      <c r="C58" s="204">
        <v>50</v>
      </c>
      <c r="D58" s="191">
        <f t="shared" si="4"/>
        <v>18300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70.871617092399347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67.81972927502332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64.899262464137138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62.104557381949434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59.430198451626239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56.871003302991639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54.422012730135528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52.078481081469434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49.835867063607125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47.689824941250841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45.63619611602951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43.671001067970835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41.790431643991226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39.990843678460514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38.268749931541159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36.620813331618344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35.043840508725694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33.534775606436078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Chêne pubescent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32.09069436022591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30.708798430838197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29.386409981663345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>
        <v>216</v>
      </c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28.12096648963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26.910015779550239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25.751211272296889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24.642307437604678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23.581155442683908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22.565698988214265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25</v>
      </c>
      <c r="B85" s="193">
        <f>'Données projet'!D88</f>
        <v>8</v>
      </c>
      <c r="C85" s="204">
        <v>5</v>
      </c>
      <c r="D85" s="191">
        <f>B85*C85</f>
        <v>40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21.593970323650019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30</v>
      </c>
      <c r="B86" s="193">
        <f>'Données projet'!D89</f>
        <v>21</v>
      </c>
      <c r="C86" s="204">
        <v>10</v>
      </c>
      <c r="D86" s="191">
        <f t="shared" ref="D86:D104" si="6">B86*C86</f>
        <v>210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20.66408643411485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35</v>
      </c>
      <c r="B87" s="193">
        <f>'Données projet'!D90</f>
        <v>21</v>
      </c>
      <c r="C87" s="204">
        <v>10</v>
      </c>
      <c r="D87" s="191">
        <f t="shared" si="6"/>
        <v>210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19.774245391497473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40</v>
      </c>
      <c r="B88" s="193">
        <f>'Données projet'!D91</f>
        <v>21</v>
      </c>
      <c r="C88" s="204">
        <v>50</v>
      </c>
      <c r="D88" s="191">
        <f t="shared" si="6"/>
        <v>1050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18.922722862677006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45</v>
      </c>
      <c r="B89" s="193">
        <f>'Données projet'!D92</f>
        <v>21</v>
      </c>
      <c r="C89" s="204">
        <v>80</v>
      </c>
      <c r="D89" s="191">
        <f t="shared" si="6"/>
        <v>1680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18.10786876811197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50</v>
      </c>
      <c r="B90" s="193">
        <f>'Données projet'!D93</f>
        <v>21</v>
      </c>
      <c r="C90" s="204">
        <v>100</v>
      </c>
      <c r="D90" s="191">
        <f t="shared" si="6"/>
        <v>2100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17.328104084317676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55</v>
      </c>
      <c r="B91" s="193">
        <f>'Données projet'!D94</f>
        <v>21</v>
      </c>
      <c r="C91" s="204">
        <v>100</v>
      </c>
      <c r="D91" s="191">
        <f t="shared" si="6"/>
        <v>2100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16.581917784036058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60</v>
      </c>
      <c r="B92" s="193">
        <f>'Données projet'!D95</f>
        <v>21</v>
      </c>
      <c r="C92" s="204">
        <v>100</v>
      </c>
      <c r="D92" s="191">
        <f t="shared" si="6"/>
        <v>2100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15.867863908168477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65</v>
      </c>
      <c r="B93" s="193">
        <f>'Données projet'!D96</f>
        <v>21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15.184558763797588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70</v>
      </c>
      <c r="B94" s="193">
        <f>'Données projet'!D97</f>
        <v>21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str">
        <f>IF(O93+1&lt;=MIN('Données projet'!$E$9:$E$18),O93+1,"STOP")</f>
        <v>STOP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75</v>
      </c>
      <c r="B95" s="193">
        <f>'Données projet'!D98</f>
        <v>21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80</v>
      </c>
      <c r="B96" s="193">
        <f>'Données projet'!D99</f>
        <v>21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85</v>
      </c>
      <c r="B97" s="193">
        <f>'Données projet'!D100</f>
        <v>21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90</v>
      </c>
      <c r="B98" s="193">
        <f>'Données projet'!D101</f>
        <v>21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95</v>
      </c>
      <c r="B99" s="193">
        <f>'Données projet'!D102</f>
        <v>21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100</v>
      </c>
      <c r="B100" s="193">
        <f>'Données projet'!D103</f>
        <v>282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cp:lastPrinted>2022-03-16T10:07:54Z</cp:lastPrinted>
  <dcterms:created xsi:type="dcterms:W3CDTF">2021-02-01T08:22:39Z</dcterms:created>
  <dcterms:modified xsi:type="dcterms:W3CDTF">2022-06-30T13:17:15Z</dcterms:modified>
</cp:coreProperties>
</file>