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Evreux\zSONCHAMP (78) -TERRIER\doc finaux\"/>
    </mc:Choice>
  </mc:AlternateContent>
  <xr:revisionPtr revIDLastSave="0" documentId="13_ncr:1_{EEC91F99-02D4-4A8E-A29D-C1D22F78D093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90" i="2" l="1" a="1"/>
  <c r="AH90" i="2" s="1"/>
  <c r="AH19" i="2" a="1"/>
  <c r="AH19" i="2" s="1"/>
  <c r="AH166" i="2" a="1"/>
  <c r="AH166" i="2" s="1"/>
  <c r="AH151" i="2" a="1"/>
  <c r="AH151" i="2" s="1"/>
  <c r="AH62" i="2" a="1"/>
  <c r="AH62" i="2" s="1"/>
  <c r="AH163" i="2" a="1"/>
  <c r="AH163" i="2" s="1"/>
  <c r="AH199" i="2" a="1"/>
  <c r="AH199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<sst xmlns="http://schemas.openxmlformats.org/spreadsheetml/2006/main" count="1172" uniqueCount="324">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</sst>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601.8943306586167</c:v>
                </c:pt>
                <c:pt idx="92">
                  <c:v>613.72799533010163</c:v>
                </c:pt>
                <c:pt idx="93">
                  <c:v>625.55692889431919</c:v>
                </c:pt>
                <c:pt idx="94">
                  <c:v>637.3812333927383</c:v>
                </c:pt>
                <c:pt idx="95">
                  <c:v>649.20100677344158</c:v>
                </c:pt>
                <c:pt idx="96">
                  <c:v>606.4756720002963</c:v>
                </c:pt>
                <c:pt idx="97">
                  <c:v>617.16268463508527</c:v>
                </c:pt>
                <c:pt idx="98">
                  <c:v>627.84586213083401</c:v>
                </c:pt>
                <c:pt idx="99">
                  <c:v>638.52527892770956</c:v>
                </c:pt>
                <c:pt idx="100">
                  <c:v>649.2010067734418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2.9319801744961338</c:v>
                </c:pt>
                <c:pt idx="2">
                  <c:v>3.4893624930850407</c:v>
                </c:pt>
                <c:pt idx="3">
                  <c:v>4.1530960524811062</c:v>
                </c:pt>
                <c:pt idx="4">
                  <c:v>4.9435434679155099</c:v>
                </c:pt>
                <c:pt idx="5">
                  <c:v>5.884978703662731</c:v>
                </c:pt>
                <c:pt idx="6">
                  <c:v>7.0063406371486012</c:v>
                </c:pt>
                <c:pt idx="7">
                  <c:v>8.3421322068975368</c:v>
                </c:pt>
                <c:pt idx="8">
                  <c:v>9.9334933415181759</c:v>
                </c:pt>
                <c:pt idx="9">
                  <c:v>11.829481340895198</c:v>
                </c:pt>
                <c:pt idx="10">
                  <c:v>14.088598919626262</c:v>
                </c:pt>
                <c:pt idx="11">
                  <c:v>16.780617934076393</c:v>
                </c:pt>
                <c:pt idx="12">
                  <c:v>19.988756146300929</c:v>
                </c:pt>
                <c:pt idx="13">
                  <c:v>23.812275527044875</c:v>
                </c:pt>
                <c:pt idx="14">
                  <c:v>28.36958392051773</c:v>
                </c:pt>
                <c:pt idx="15">
                  <c:v>33.801937809381535</c:v>
                </c:pt>
                <c:pt idx="16">
                  <c:v>40.277862935897112</c:v>
                </c:pt>
                <c:pt idx="17">
                  <c:v>47.998432259984718</c:v>
                </c:pt>
                <c:pt idx="18">
                  <c:v>57.203567891002194</c:v>
                </c:pt>
                <c:pt idx="19">
                  <c:v>68.179566082839202</c:v>
                </c:pt>
                <c:pt idx="20">
                  <c:v>81.26808316628383</c:v>
                </c:pt>
                <c:pt idx="21">
                  <c:v>82.549938652648208</c:v>
                </c:pt>
                <c:pt idx="22">
                  <c:v>90.230803796280711</c:v>
                </c:pt>
                <c:pt idx="23">
                  <c:v>97.895288850883631</c:v>
                </c:pt>
                <c:pt idx="24">
                  <c:v>105.54485971950284</c:v>
                </c:pt>
                <c:pt idx="25">
                  <c:v>113.1807518646965</c:v>
                </c:pt>
                <c:pt idx="26">
                  <c:v>93.213296830570826</c:v>
                </c:pt>
                <c:pt idx="27">
                  <c:v>102.99657950269257</c:v>
                </c:pt>
                <c:pt idx="28">
                  <c:v>112.75687585038368</c:v>
                </c:pt>
                <c:pt idx="29">
                  <c:v>122.49645924610256</c:v>
                </c:pt>
                <c:pt idx="30">
                  <c:v>132.21721110646135</c:v>
                </c:pt>
                <c:pt idx="31">
                  <c:v>114.0283872808938</c:v>
                </c:pt>
                <c:pt idx="32">
                  <c:v>125.45686448324545</c:v>
                </c:pt>
                <c:pt idx="33">
                  <c:v>136.86008084570224</c:v>
                </c:pt>
                <c:pt idx="34">
                  <c:v>148.24044012881674</c:v>
                </c:pt>
                <c:pt idx="35">
                  <c:v>159.59994614012592</c:v>
                </c:pt>
                <c:pt idx="36">
                  <c:v>141.49916130703059</c:v>
                </c:pt>
                <c:pt idx="37">
                  <c:v>152.87080215212248</c:v>
                </c:pt>
                <c:pt idx="38">
                  <c:v>164.22231332182193</c:v>
                </c:pt>
                <c:pt idx="39">
                  <c:v>175.55528357828828</c:v>
                </c:pt>
                <c:pt idx="40">
                  <c:v>186.87107951156963</c:v>
                </c:pt>
                <c:pt idx="41">
                  <c:v>169.68115418242942</c:v>
                </c:pt>
                <c:pt idx="42">
                  <c:v>181.84387743661728</c:v>
                </c:pt>
                <c:pt idx="43">
                  <c:v>193.98756931268122</c:v>
                </c:pt>
                <c:pt idx="44">
                  <c:v>206.11358982724173</c:v>
                </c:pt>
                <c:pt idx="45">
                  <c:v>218.22312573751955</c:v>
                </c:pt>
                <c:pt idx="46">
                  <c:v>200.67989328789312</c:v>
                </c:pt>
                <c:pt idx="47">
                  <c:v>212.3791320494644</c:v>
                </c:pt>
                <c:pt idx="48">
                  <c:v>224.06352270028592</c:v>
                </c:pt>
                <c:pt idx="49">
                  <c:v>235.73394911793244</c:v>
                </c:pt>
                <c:pt idx="50">
                  <c:v>247.39120044621509</c:v>
                </c:pt>
                <c:pt idx="51">
                  <c:v>228.64995281860433</c:v>
                </c:pt>
                <c:pt idx="52">
                  <c:v>239.06590436046736</c:v>
                </c:pt>
                <c:pt idx="53">
                  <c:v>249.47152135339448</c:v>
                </c:pt>
                <c:pt idx="54">
                  <c:v>259.86729593392823</c:v>
                </c:pt>
                <c:pt idx="55">
                  <c:v>270.2536776168954</c:v>
                </c:pt>
                <c:pt idx="56">
                  <c:v>251.13549453595022</c:v>
                </c:pt>
                <c:pt idx="57">
                  <c:v>261.11414922946949</c:v>
                </c:pt>
                <c:pt idx="58">
                  <c:v>271.08419496001193</c:v>
                </c:pt>
                <c:pt idx="59">
                  <c:v>281.04599322042549</c:v>
                </c:pt>
                <c:pt idx="60">
                  <c:v>290.99987776518356</c:v>
                </c:pt>
                <c:pt idx="61">
                  <c:v>271.08419496001193</c:v>
                </c:pt>
                <c:pt idx="62">
                  <c:v>280.21615005760458</c:v>
                </c:pt>
                <c:pt idx="63">
                  <c:v>289.3414331694662</c:v>
                </c:pt>
                <c:pt idx="64">
                  <c:v>298.46028455898517</c:v>
                </c:pt>
                <c:pt idx="65">
                  <c:v>307.57292859760349</c:v>
                </c:pt>
                <c:pt idx="66">
                  <c:v>286.85336725699216</c:v>
                </c:pt>
                <c:pt idx="67">
                  <c:v>295.14506828119124</c:v>
                </c:pt>
                <c:pt idx="68">
                  <c:v>303.4315734497531</c:v>
                </c:pt>
                <c:pt idx="69">
                  <c:v>311.71304479765803</c:v>
                </c:pt>
                <c:pt idx="70">
                  <c:v>319.9896350397226</c:v>
                </c:pt>
                <c:pt idx="71">
                  <c:v>298.87462867673622</c:v>
                </c:pt>
                <c:pt idx="72">
                  <c:v>306.74475729526404</c:v>
                </c:pt>
                <c:pt idx="73">
                  <c:v>314.61039905540082</c:v>
                </c:pt>
                <c:pt idx="74">
                  <c:v>322.47168206060979</c:v>
                </c:pt>
                <c:pt idx="75">
                  <c:v>330.32872765301596</c:v>
                </c:pt>
                <c:pt idx="76">
                  <c:v>308.81509268095937</c:v>
                </c:pt>
                <c:pt idx="77">
                  <c:v>316.26576406048838</c:v>
                </c:pt>
                <c:pt idx="78">
                  <c:v>323.71254689380015</c:v>
                </c:pt>
                <c:pt idx="79">
                  <c:v>331.15554333882909</c:v>
                </c:pt>
                <c:pt idx="80">
                  <c:v>338.59485058221657</c:v>
                </c:pt>
                <c:pt idx="81">
                  <c:v>316.67957526595052</c:v>
                </c:pt>
                <c:pt idx="82">
                  <c:v>323.71254689380015</c:v>
                </c:pt>
                <c:pt idx="83">
                  <c:v>330.74214119668073</c:v>
                </c:pt>
                <c:pt idx="84">
                  <c:v>337.7684401549443</c:v>
                </c:pt>
                <c:pt idx="85">
                  <c:v>344.79152205649962</c:v>
                </c:pt>
                <c:pt idx="86">
                  <c:v>322.47168206060979</c:v>
                </c:pt>
                <c:pt idx="87">
                  <c:v>329.08841844950155</c:v>
                </c:pt>
                <c:pt idx="88">
                  <c:v>335.70221902604527</c:v>
                </c:pt>
                <c:pt idx="89">
                  <c:v>342.31314985114545</c:v>
                </c:pt>
                <c:pt idx="90">
                  <c:v>348.92127422322807</c:v>
                </c:pt>
                <c:pt idx="91">
                  <c:v>326.60748998427988</c:v>
                </c:pt>
                <c:pt idx="92">
                  <c:v>333.22238359494423</c:v>
                </c:pt>
                <c:pt idx="93">
                  <c:v>339.83438301445921</c:v>
                </c:pt>
                <c:pt idx="94">
                  <c:v>346.4435525568872</c:v>
                </c:pt>
                <c:pt idx="95">
                  <c:v>353.04995387967392</c:v>
                </c:pt>
                <c:pt idx="96">
                  <c:v>329.91530269151468</c:v>
                </c:pt>
                <c:pt idx="97">
                  <c:v>335.70221902604521</c:v>
                </c:pt>
                <c:pt idx="98">
                  <c:v>341.48693824841251</c:v>
                </c:pt>
                <c:pt idx="99">
                  <c:v>347.26950287262463</c:v>
                </c:pt>
                <c:pt idx="100">
                  <c:v>353.04995387967415</c:v>
                </c:pt>
                <c:pt idx="101">
                  <c:v>1.6380047803526383E-12</c:v>
                </c:pt>
                <c:pt idx="102">
                  <c:v>1.6380047803526383E-12</c:v>
                </c:pt>
                <c:pt idx="103">
                  <c:v>1.6380047803526383E-12</c:v>
                </c:pt>
                <c:pt idx="104">
                  <c:v>1.6380047803526383E-12</c:v>
                </c:pt>
                <c:pt idx="105">
                  <c:v>1.6380047803526383E-12</c:v>
                </c:pt>
                <c:pt idx="106">
                  <c:v>1.6380047803526383E-12</c:v>
                </c:pt>
                <c:pt idx="107">
                  <c:v>1.6380047803526383E-12</c:v>
                </c:pt>
                <c:pt idx="108">
                  <c:v>1.6380047803526383E-12</c:v>
                </c:pt>
                <c:pt idx="109">
                  <c:v>1.6380047803526383E-12</c:v>
                </c:pt>
                <c:pt idx="110">
                  <c:v>1.6380047803526383E-12</c:v>
                </c:pt>
                <c:pt idx="111">
                  <c:v>1.6380047803526383E-12</c:v>
                </c:pt>
                <c:pt idx="112">
                  <c:v>1.6380047803526383E-12</c:v>
                </c:pt>
                <c:pt idx="113">
                  <c:v>1.6380047803526383E-12</c:v>
                </c:pt>
                <c:pt idx="114">
                  <c:v>1.6380047803526383E-12</c:v>
                </c:pt>
                <c:pt idx="115">
                  <c:v>1.6380047803526383E-12</c:v>
                </c:pt>
                <c:pt idx="116">
                  <c:v>1.6380047803526383E-12</c:v>
                </c:pt>
                <c:pt idx="117">
                  <c:v>1.6380047803526383E-12</c:v>
                </c:pt>
                <c:pt idx="118">
                  <c:v>1.6380047803526383E-12</c:v>
                </c:pt>
                <c:pt idx="119">
                  <c:v>1.6380047803526383E-12</c:v>
                </c:pt>
                <c:pt idx="120">
                  <c:v>1.6380047803526383E-12</c:v>
                </c:pt>
                <c:pt idx="121">
                  <c:v>1.6380047803526383E-12</c:v>
                </c:pt>
                <c:pt idx="122">
                  <c:v>1.6380047803526383E-12</c:v>
                </c:pt>
                <c:pt idx="123">
                  <c:v>1.6380047803526383E-12</c:v>
                </c:pt>
                <c:pt idx="124">
                  <c:v>1.6380047803526383E-12</c:v>
                </c:pt>
                <c:pt idx="125">
                  <c:v>1.6380047803526383E-12</c:v>
                </c:pt>
                <c:pt idx="126">
                  <c:v>1.6380047803526383E-12</c:v>
                </c:pt>
                <c:pt idx="127">
                  <c:v>1.6380047803526383E-12</c:v>
                </c:pt>
                <c:pt idx="128">
                  <c:v>1.6380047803526383E-12</c:v>
                </c:pt>
                <c:pt idx="129">
                  <c:v>1.6380047803526383E-12</c:v>
                </c:pt>
                <c:pt idx="130">
                  <c:v>1.6380047803526383E-12</c:v>
                </c:pt>
                <c:pt idx="131">
                  <c:v>1.6380047803526383E-12</c:v>
                </c:pt>
                <c:pt idx="132">
                  <c:v>1.6380047803526383E-12</c:v>
                </c:pt>
                <c:pt idx="133">
                  <c:v>1.6380047803526383E-12</c:v>
                </c:pt>
                <c:pt idx="134">
                  <c:v>1.6380047803526383E-12</c:v>
                </c:pt>
                <c:pt idx="135">
                  <c:v>1.6380047803526383E-12</c:v>
                </c:pt>
                <c:pt idx="136">
                  <c:v>1.6380047803526383E-12</c:v>
                </c:pt>
                <c:pt idx="137">
                  <c:v>1.6380047803526383E-12</c:v>
                </c:pt>
                <c:pt idx="138">
                  <c:v>1.6380047803526383E-12</c:v>
                </c:pt>
                <c:pt idx="139">
                  <c:v>1.6380047803526383E-12</c:v>
                </c:pt>
                <c:pt idx="140">
                  <c:v>1.6380047803526383E-12</c:v>
                </c:pt>
                <c:pt idx="141">
                  <c:v>1.6380047803526383E-12</c:v>
                </c:pt>
                <c:pt idx="142">
                  <c:v>1.6380047803526383E-12</c:v>
                </c:pt>
                <c:pt idx="143">
                  <c:v>1.6380047803526383E-12</c:v>
                </c:pt>
                <c:pt idx="144">
                  <c:v>1.6380047803526383E-12</c:v>
                </c:pt>
                <c:pt idx="145">
                  <c:v>1.6380047803526383E-12</c:v>
                </c:pt>
                <c:pt idx="146">
                  <c:v>1.6380047803526383E-12</c:v>
                </c:pt>
                <c:pt idx="147">
                  <c:v>1.6380047803526383E-12</c:v>
                </c:pt>
                <c:pt idx="148">
                  <c:v>1.6380047803526383E-12</c:v>
                </c:pt>
                <c:pt idx="149">
                  <c:v>1.6380047803526383E-12</c:v>
                </c:pt>
                <c:pt idx="150">
                  <c:v>1.6380047803526383E-12</c:v>
                </c:pt>
                <c:pt idx="151">
                  <c:v>1.6380047803526383E-12</c:v>
                </c:pt>
                <c:pt idx="152">
                  <c:v>1.6380047803526383E-12</c:v>
                </c:pt>
                <c:pt idx="153">
                  <c:v>1.6380047803526383E-12</c:v>
                </c:pt>
                <c:pt idx="154">
                  <c:v>1.6380047803526383E-12</c:v>
                </c:pt>
                <c:pt idx="155">
                  <c:v>1.6380047803526383E-12</c:v>
                </c:pt>
                <c:pt idx="156">
                  <c:v>1.6380047803526383E-12</c:v>
                </c:pt>
                <c:pt idx="157">
                  <c:v>1.6380047803526383E-12</c:v>
                </c:pt>
                <c:pt idx="158">
                  <c:v>1.6380047803526383E-12</c:v>
                </c:pt>
                <c:pt idx="159">
                  <c:v>1.6380047803526383E-12</c:v>
                </c:pt>
                <c:pt idx="160">
                  <c:v>1.6380047803526383E-12</c:v>
                </c:pt>
                <c:pt idx="161">
                  <c:v>1.6380047803526383E-12</c:v>
                </c:pt>
                <c:pt idx="162">
                  <c:v>1.6380047803526383E-12</c:v>
                </c:pt>
                <c:pt idx="163">
                  <c:v>1.6380047803526383E-12</c:v>
                </c:pt>
                <c:pt idx="164">
                  <c:v>1.6380047803526383E-12</c:v>
                </c:pt>
                <c:pt idx="165">
                  <c:v>1.6380047803526383E-12</c:v>
                </c:pt>
                <c:pt idx="166">
                  <c:v>1.6380047803526383E-12</c:v>
                </c:pt>
                <c:pt idx="167">
                  <c:v>1.6380047803526383E-12</c:v>
                </c:pt>
                <c:pt idx="168">
                  <c:v>1.6380047803526383E-12</c:v>
                </c:pt>
                <c:pt idx="169">
                  <c:v>1.6380047803526383E-12</c:v>
                </c:pt>
                <c:pt idx="170">
                  <c:v>1.6380047803526383E-12</c:v>
                </c:pt>
                <c:pt idx="171">
                  <c:v>1.6380047803526383E-12</c:v>
                </c:pt>
                <c:pt idx="172">
                  <c:v>1.6380047803526383E-12</c:v>
                </c:pt>
                <c:pt idx="173">
                  <c:v>1.6380047803526383E-12</c:v>
                </c:pt>
                <c:pt idx="174">
                  <c:v>1.6380047803526383E-12</c:v>
                </c:pt>
                <c:pt idx="175">
                  <c:v>1.6380047803526383E-12</c:v>
                </c:pt>
                <c:pt idx="176">
                  <c:v>1.6380047803526383E-12</c:v>
                </c:pt>
                <c:pt idx="177">
                  <c:v>1.6380047803526383E-12</c:v>
                </c:pt>
                <c:pt idx="178">
                  <c:v>1.6380047803526383E-12</c:v>
                </c:pt>
                <c:pt idx="179">
                  <c:v>1.6380047803526383E-12</c:v>
                </c:pt>
                <c:pt idx="180">
                  <c:v>1.6380047803526383E-12</c:v>
                </c:pt>
                <c:pt idx="181">
                  <c:v>1.6380047803526383E-12</c:v>
                </c:pt>
                <c:pt idx="182">
                  <c:v>1.6380047803526383E-12</c:v>
                </c:pt>
                <c:pt idx="183">
                  <c:v>1.6380047803526383E-12</c:v>
                </c:pt>
                <c:pt idx="184">
                  <c:v>1.6380047803526383E-12</c:v>
                </c:pt>
                <c:pt idx="185">
                  <c:v>1.6380047803526383E-12</c:v>
                </c:pt>
                <c:pt idx="186">
                  <c:v>1.6380047803526383E-12</c:v>
                </c:pt>
                <c:pt idx="187">
                  <c:v>1.6380047803526383E-12</c:v>
                </c:pt>
                <c:pt idx="188">
                  <c:v>1.6380047803526383E-12</c:v>
                </c:pt>
                <c:pt idx="189">
                  <c:v>1.6380047803526383E-12</c:v>
                </c:pt>
                <c:pt idx="190">
                  <c:v>1.6380047803526383E-12</c:v>
                </c:pt>
                <c:pt idx="191">
                  <c:v>1.6380047803526383E-12</c:v>
                </c:pt>
                <c:pt idx="192">
                  <c:v>1.6380047803526383E-12</c:v>
                </c:pt>
                <c:pt idx="193">
                  <c:v>1.6380047803526383E-12</c:v>
                </c:pt>
                <c:pt idx="194">
                  <c:v>1.6380047803526383E-12</c:v>
                </c:pt>
                <c:pt idx="195">
                  <c:v>1.6380047803526383E-12</c:v>
                </c:pt>
                <c:pt idx="196">
                  <c:v>1.6380047803526383E-12</c:v>
                </c:pt>
                <c:pt idx="197">
                  <c:v>1.6380047803526383E-12</c:v>
                </c:pt>
                <c:pt idx="198">
                  <c:v>1.6380047803526383E-12</c:v>
                </c:pt>
                <c:pt idx="199">
                  <c:v>1.6380047803526383E-12</c:v>
                </c:pt>
                <c:pt idx="200">
                  <c:v>1.6380047803526383E-12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3.250421449778353</c:v>
                </c:pt>
                <c:pt idx="2">
                  <c:v>3.8685566826084838</c:v>
                </c:pt>
                <c:pt idx="3">
                  <c:v>4.6046739606657718</c:v>
                </c:pt>
                <c:pt idx="4">
                  <c:v>5.4813697685251741</c:v>
                </c:pt>
                <c:pt idx="5">
                  <c:v>6.5255822778843351</c:v>
                </c:pt>
                <c:pt idx="6">
                  <c:v>7.7694280429512608</c:v>
                </c:pt>
                <c:pt idx="7">
                  <c:v>9.2512003795372308</c:v>
                </c:pt>
                <c:pt idx="8">
                  <c:v>11.016560750318101</c:v>
                </c:pt>
                <c:pt idx="9">
                  <c:v>13.119960560642554</c:v>
                </c:pt>
                <c:pt idx="10">
                  <c:v>15.626338034570798</c:v>
                </c:pt>
                <c:pt idx="11">
                  <c:v>18.61314352021439</c:v>
                </c:pt>
                <c:pt idx="12">
                  <c:v>22.172756942655372</c:v>
                </c:pt>
                <c:pt idx="13">
                  <c:v>26.415373511348836</c:v>
                </c:pt>
                <c:pt idx="14">
                  <c:v>31.472448590944882</c:v>
                </c:pt>
                <c:pt idx="15">
                  <c:v>37.500810330886665</c:v>
                </c:pt>
                <c:pt idx="16">
                  <c:v>44.687569782987374</c:v>
                </c:pt>
                <c:pt idx="17">
                  <c:v>53.25598349057978</c:v>
                </c:pt>
                <c:pt idx="18">
                  <c:v>63.472453712511168</c:v>
                </c:pt>
                <c:pt idx="19">
                  <c:v>75.654887512373861</c:v>
                </c:pt>
                <c:pt idx="20">
                  <c:v>90.182679048300756</c:v>
                </c:pt>
                <c:pt idx="21">
                  <c:v>91.605526277825689</c:v>
                </c:pt>
                <c:pt idx="22">
                  <c:v>100.13132401779355</c:v>
                </c:pt>
                <c:pt idx="23">
                  <c:v>108.63911788157306</c:v>
                </c:pt>
                <c:pt idx="24">
                  <c:v>117.13051908976841</c:v>
                </c:pt>
                <c:pt idx="25">
                  <c:v>125.60688557852342</c:v>
                </c:pt>
                <c:pt idx="26">
                  <c:v>103.44195485874688</c:v>
                </c:pt>
                <c:pt idx="27">
                  <c:v>114.30178506472753</c:v>
                </c:pt>
                <c:pt idx="28">
                  <c:v>125.13635027133448</c:v>
                </c:pt>
                <c:pt idx="29">
                  <c:v>135.94814921445354</c:v>
                </c:pt>
                <c:pt idx="30">
                  <c:v>146.73924981884889</c:v>
                </c:pt>
                <c:pt idx="31">
                  <c:v>126.54782802047693</c:v>
                </c:pt>
                <c:pt idx="32">
                  <c:v>139.23450265591333</c:v>
                </c:pt>
                <c:pt idx="33">
                  <c:v>151.89341229977626</c:v>
                </c:pt>
                <c:pt idx="34">
                  <c:v>164.52719900164766</c:v>
                </c:pt>
                <c:pt idx="35">
                  <c:v>177.1380652100452</c:v>
                </c:pt>
                <c:pt idx="36">
                  <c:v>157.04340986497832</c:v>
                </c:pt>
                <c:pt idx="37">
                  <c:v>169.66761385466603</c:v>
                </c:pt>
                <c:pt idx="38">
                  <c:v>182.26969267868321</c:v>
                </c:pt>
                <c:pt idx="39">
                  <c:v>194.85139259598859</c:v>
                </c:pt>
                <c:pt idx="40">
                  <c:v>207.41421566911538</c:v>
                </c:pt>
                <c:pt idx="41">
                  <c:v>188.32999436925616</c:v>
                </c:pt>
                <c:pt idx="42">
                  <c:v>201.83298159430879</c:v>
                </c:pt>
                <c:pt idx="43">
                  <c:v>215.31505082710774</c:v>
                </c:pt>
                <c:pt idx="44">
                  <c:v>228.77769690512335</c:v>
                </c:pt>
                <c:pt idx="45">
                  <c:v>242.22222423091591</c:v>
                </c:pt>
                <c:pt idx="46">
                  <c:v>222.74503213678983</c:v>
                </c:pt>
                <c:pt idx="47">
                  <c:v>235.73394911793255</c:v>
                </c:pt>
                <c:pt idx="48">
                  <c:v>248.70654606887956</c:v>
                </c:pt>
                <c:pt idx="49">
                  <c:v>261.66379448755117</c:v>
                </c:pt>
                <c:pt idx="50">
                  <c:v>274.60656174697812</c:v>
                </c:pt>
                <c:pt idx="51">
                  <c:v>253.79867396956942</c:v>
                </c:pt>
                <c:pt idx="52">
                  <c:v>265.36317005758787</c:v>
                </c:pt>
                <c:pt idx="53">
                  <c:v>276.91630711457992</c:v>
                </c:pt>
                <c:pt idx="54">
                  <c:v>288.4586260634527</c:v>
                </c:pt>
                <c:pt idx="55">
                  <c:v>299.99062098023177</c:v>
                </c:pt>
                <c:pt idx="56">
                  <c:v>278.76379175733655</c:v>
                </c:pt>
                <c:pt idx="57">
                  <c:v>289.84300127315151</c:v>
                </c:pt>
                <c:pt idx="58">
                  <c:v>300.91274840428326</c:v>
                </c:pt>
                <c:pt idx="59">
                  <c:v>311.97343047900421</c:v>
                </c:pt>
                <c:pt idx="60">
                  <c:v>323.02541433745824</c:v>
                </c:pt>
                <c:pt idx="61">
                  <c:v>300.91274840428332</c:v>
                </c:pt>
                <c:pt idx="62">
                  <c:v>311.05204406793194</c:v>
                </c:pt>
                <c:pt idx="63">
                  <c:v>321.18400634011869</c:v>
                </c:pt>
                <c:pt idx="64">
                  <c:v>331.30889930196639</c:v>
                </c:pt>
                <c:pt idx="65">
                  <c:v>341.42696956725422</c:v>
                </c:pt>
                <c:pt idx="66">
                  <c:v>318.42145576976333</c:v>
                </c:pt>
                <c:pt idx="67">
                  <c:v>327.62792205981236</c:v>
                </c:pt>
                <c:pt idx="68">
                  <c:v>336.82867741987718</c:v>
                </c:pt>
                <c:pt idx="69">
                  <c:v>346.02389994775189</c:v>
                </c:pt>
                <c:pt idx="70">
                  <c:v>355.21375749714224</c:v>
                </c:pt>
                <c:pt idx="71">
                  <c:v>331.76895779885075</c:v>
                </c:pt>
                <c:pt idx="72">
                  <c:v>340.50742075114596</c:v>
                </c:pt>
                <c:pt idx="73">
                  <c:v>349.24095205485241</c:v>
                </c:pt>
                <c:pt idx="74">
                  <c:v>357.96969251255609</c:v>
                </c:pt>
                <c:pt idx="75">
                  <c:v>366.69377549524097</c:v>
                </c:pt>
                <c:pt idx="76">
                  <c:v>342.80619071488087</c:v>
                </c:pt>
                <c:pt idx="77">
                  <c:v>351.07897517630335</c:v>
                </c:pt>
                <c:pt idx="78">
                  <c:v>359.34748561305355</c:v>
                </c:pt>
                <c:pt idx="79">
                  <c:v>367.61183431016207</c:v>
                </c:pt>
                <c:pt idx="80">
                  <c:v>375.87212808855412</c:v>
                </c:pt>
                <c:pt idx="81">
                  <c:v>351.53844793236203</c:v>
                </c:pt>
                <c:pt idx="82">
                  <c:v>359.34748561305355</c:v>
                </c:pt>
                <c:pt idx="83">
                  <c:v>367.15281116858591</c:v>
                </c:pt>
                <c:pt idx="84">
                  <c:v>374.95451470616882</c:v>
                </c:pt>
                <c:pt idx="85">
                  <c:v>382.75268227452943</c:v>
                </c:pt>
                <c:pt idx="86">
                  <c:v>357.96969251255609</c:v>
                </c:pt>
                <c:pt idx="87">
                  <c:v>365.31659310497076</c:v>
                </c:pt>
                <c:pt idx="88">
                  <c:v>372.66026685277376</c:v>
                </c:pt>
                <c:pt idx="89">
                  <c:v>380.00078636560335</c:v>
                </c:pt>
                <c:pt idx="90">
                  <c:v>387.33822121677059</c:v>
                </c:pt>
                <c:pt idx="91">
                  <c:v>362.56188752962129</c:v>
                </c:pt>
                <c:pt idx="92">
                  <c:v>369.90676266594784</c:v>
                </c:pt>
                <c:pt idx="93">
                  <c:v>377.24845670484427</c:v>
                </c:pt>
                <c:pt idx="94">
                  <c:v>384.58704033593932</c:v>
                </c:pt>
                <c:pt idx="95">
                  <c:v>391.92258132889066</c:v>
                </c:pt>
                <c:pt idx="96">
                  <c:v>366.2347272721891</c:v>
                </c:pt>
                <c:pt idx="97">
                  <c:v>372.66026685277365</c:v>
                </c:pt>
                <c:pt idx="98">
                  <c:v>379.0833915175852</c:v>
                </c:pt>
                <c:pt idx="99">
                  <c:v>385.50414799512072</c:v>
                </c:pt>
                <c:pt idx="100">
                  <c:v>391.92258132889083</c:v>
                </c:pt>
                <c:pt idx="101">
                  <c:v>1.8017017738191463E-12</c:v>
                </c:pt>
                <c:pt idx="102">
                  <c:v>1.8017017738191463E-12</c:v>
                </c:pt>
                <c:pt idx="103">
                  <c:v>1.8017017738191463E-12</c:v>
                </c:pt>
                <c:pt idx="104">
                  <c:v>1.8017017738191463E-12</c:v>
                </c:pt>
                <c:pt idx="105">
                  <c:v>1.8017017738191463E-12</c:v>
                </c:pt>
                <c:pt idx="106">
                  <c:v>1.8017017738191463E-12</c:v>
                </c:pt>
                <c:pt idx="107">
                  <c:v>1.8017017738191463E-12</c:v>
                </c:pt>
                <c:pt idx="108">
                  <c:v>1.8017017738191463E-12</c:v>
                </c:pt>
                <c:pt idx="109">
                  <c:v>1.8017017738191463E-12</c:v>
                </c:pt>
                <c:pt idx="110">
                  <c:v>1.8017017738191463E-12</c:v>
                </c:pt>
                <c:pt idx="111">
                  <c:v>1.8017017738191463E-12</c:v>
                </c:pt>
                <c:pt idx="112">
                  <c:v>1.8017017738191463E-12</c:v>
                </c:pt>
                <c:pt idx="113">
                  <c:v>1.8017017738191463E-12</c:v>
                </c:pt>
                <c:pt idx="114">
                  <c:v>1.8017017738191463E-12</c:v>
                </c:pt>
                <c:pt idx="115">
                  <c:v>1.8017017738191463E-12</c:v>
                </c:pt>
                <c:pt idx="116">
                  <c:v>1.8017017738191463E-12</c:v>
                </c:pt>
                <c:pt idx="117">
                  <c:v>1.8017017738191463E-12</c:v>
                </c:pt>
                <c:pt idx="118">
                  <c:v>1.8017017738191463E-12</c:v>
                </c:pt>
                <c:pt idx="119">
                  <c:v>1.8017017738191463E-12</c:v>
                </c:pt>
                <c:pt idx="120">
                  <c:v>1.8017017738191463E-12</c:v>
                </c:pt>
                <c:pt idx="121">
                  <c:v>1.8017017738191463E-12</c:v>
                </c:pt>
                <c:pt idx="122">
                  <c:v>1.8017017738191463E-12</c:v>
                </c:pt>
                <c:pt idx="123">
                  <c:v>1.8017017738191463E-12</c:v>
                </c:pt>
                <c:pt idx="124">
                  <c:v>1.8017017738191463E-12</c:v>
                </c:pt>
                <c:pt idx="125">
                  <c:v>1.8017017738191463E-12</c:v>
                </c:pt>
                <c:pt idx="126">
                  <c:v>1.8017017738191463E-12</c:v>
                </c:pt>
                <c:pt idx="127">
                  <c:v>1.8017017738191463E-12</c:v>
                </c:pt>
                <c:pt idx="128">
                  <c:v>1.8017017738191463E-12</c:v>
                </c:pt>
                <c:pt idx="129">
                  <c:v>1.8017017738191463E-12</c:v>
                </c:pt>
                <c:pt idx="130">
                  <c:v>1.8017017738191463E-12</c:v>
                </c:pt>
                <c:pt idx="131">
                  <c:v>1.8017017738191463E-12</c:v>
                </c:pt>
                <c:pt idx="132">
                  <c:v>1.8017017738191463E-12</c:v>
                </c:pt>
                <c:pt idx="133">
                  <c:v>1.8017017738191463E-12</c:v>
                </c:pt>
                <c:pt idx="134">
                  <c:v>1.8017017738191463E-12</c:v>
                </c:pt>
                <c:pt idx="135">
                  <c:v>1.8017017738191463E-12</c:v>
                </c:pt>
                <c:pt idx="136">
                  <c:v>1.8017017738191463E-12</c:v>
                </c:pt>
                <c:pt idx="137">
                  <c:v>1.8017017738191463E-12</c:v>
                </c:pt>
                <c:pt idx="138">
                  <c:v>1.8017017738191463E-12</c:v>
                </c:pt>
                <c:pt idx="139">
                  <c:v>1.8017017738191463E-12</c:v>
                </c:pt>
                <c:pt idx="140">
                  <c:v>1.8017017738191463E-12</c:v>
                </c:pt>
                <c:pt idx="141">
                  <c:v>1.8017017738191463E-12</c:v>
                </c:pt>
                <c:pt idx="142">
                  <c:v>1.8017017738191463E-12</c:v>
                </c:pt>
                <c:pt idx="143">
                  <c:v>1.8017017738191463E-12</c:v>
                </c:pt>
                <c:pt idx="144">
                  <c:v>1.8017017738191463E-12</c:v>
                </c:pt>
                <c:pt idx="145">
                  <c:v>1.8017017738191463E-12</c:v>
                </c:pt>
                <c:pt idx="146">
                  <c:v>1.8017017738191463E-12</c:v>
                </c:pt>
                <c:pt idx="147">
                  <c:v>1.8017017738191463E-12</c:v>
                </c:pt>
                <c:pt idx="148">
                  <c:v>1.8017017738191463E-12</c:v>
                </c:pt>
                <c:pt idx="149">
                  <c:v>1.8017017738191463E-12</c:v>
                </c:pt>
                <c:pt idx="150">
                  <c:v>1.8017017738191463E-12</c:v>
                </c:pt>
                <c:pt idx="151">
                  <c:v>1.8017017738191463E-12</c:v>
                </c:pt>
                <c:pt idx="152">
                  <c:v>1.8017017738191463E-12</c:v>
                </c:pt>
                <c:pt idx="153">
                  <c:v>1.8017017738191463E-12</c:v>
                </c:pt>
                <c:pt idx="154">
                  <c:v>1.8017017738191463E-12</c:v>
                </c:pt>
                <c:pt idx="155">
                  <c:v>1.8017017738191463E-12</c:v>
                </c:pt>
                <c:pt idx="156">
                  <c:v>1.8017017738191463E-12</c:v>
                </c:pt>
                <c:pt idx="157">
                  <c:v>1.8017017738191463E-12</c:v>
                </c:pt>
                <c:pt idx="158">
                  <c:v>1.8017017738191463E-12</c:v>
                </c:pt>
                <c:pt idx="159">
                  <c:v>1.8017017738191463E-12</c:v>
                </c:pt>
                <c:pt idx="160">
                  <c:v>1.8017017738191463E-12</c:v>
                </c:pt>
                <c:pt idx="161">
                  <c:v>1.8017017738191463E-12</c:v>
                </c:pt>
                <c:pt idx="162">
                  <c:v>1.8017017738191463E-12</c:v>
                </c:pt>
                <c:pt idx="163">
                  <c:v>1.8017017738191463E-12</c:v>
                </c:pt>
                <c:pt idx="164">
                  <c:v>1.8017017738191463E-12</c:v>
                </c:pt>
                <c:pt idx="165">
                  <c:v>1.8017017738191463E-12</c:v>
                </c:pt>
                <c:pt idx="166">
                  <c:v>1.8017017738191463E-12</c:v>
                </c:pt>
                <c:pt idx="167">
                  <c:v>1.8017017738191463E-12</c:v>
                </c:pt>
                <c:pt idx="168">
                  <c:v>1.8017017738191463E-12</c:v>
                </c:pt>
                <c:pt idx="169">
                  <c:v>1.8017017738191463E-12</c:v>
                </c:pt>
                <c:pt idx="170">
                  <c:v>1.8017017738191463E-12</c:v>
                </c:pt>
                <c:pt idx="171">
                  <c:v>1.8017017738191463E-12</c:v>
                </c:pt>
                <c:pt idx="172">
                  <c:v>1.8017017738191463E-12</c:v>
                </c:pt>
                <c:pt idx="173">
                  <c:v>1.8017017738191463E-12</c:v>
                </c:pt>
                <c:pt idx="174">
                  <c:v>1.8017017738191463E-12</c:v>
                </c:pt>
                <c:pt idx="175">
                  <c:v>1.8017017738191463E-12</c:v>
                </c:pt>
                <c:pt idx="176">
                  <c:v>1.8017017738191463E-12</c:v>
                </c:pt>
                <c:pt idx="177">
                  <c:v>1.8017017738191463E-12</c:v>
                </c:pt>
                <c:pt idx="178">
                  <c:v>1.8017017738191463E-12</c:v>
                </c:pt>
                <c:pt idx="179">
                  <c:v>1.8017017738191463E-12</c:v>
                </c:pt>
                <c:pt idx="180">
                  <c:v>1.8017017738191463E-12</c:v>
                </c:pt>
                <c:pt idx="181">
                  <c:v>1.8017017738191463E-12</c:v>
                </c:pt>
                <c:pt idx="182">
                  <c:v>1.8017017738191463E-12</c:v>
                </c:pt>
                <c:pt idx="183">
                  <c:v>1.8017017738191463E-12</c:v>
                </c:pt>
                <c:pt idx="184">
                  <c:v>1.8017017738191463E-12</c:v>
                </c:pt>
                <c:pt idx="185">
                  <c:v>1.8017017738191463E-12</c:v>
                </c:pt>
                <c:pt idx="186">
                  <c:v>1.8017017738191463E-12</c:v>
                </c:pt>
                <c:pt idx="187">
                  <c:v>1.8017017738191463E-12</c:v>
                </c:pt>
                <c:pt idx="188">
                  <c:v>1.8017017738191463E-12</c:v>
                </c:pt>
                <c:pt idx="189">
                  <c:v>1.8017017738191463E-12</c:v>
                </c:pt>
                <c:pt idx="190">
                  <c:v>1.8017017738191463E-12</c:v>
                </c:pt>
                <c:pt idx="191">
                  <c:v>1.8017017738191463E-12</c:v>
                </c:pt>
                <c:pt idx="192">
                  <c:v>1.8017017738191463E-12</c:v>
                </c:pt>
                <c:pt idx="193">
                  <c:v>1.8017017738191463E-12</c:v>
                </c:pt>
                <c:pt idx="194">
                  <c:v>1.8017017738191463E-12</c:v>
                </c:pt>
                <c:pt idx="195">
                  <c:v>1.8017017738191463E-12</c:v>
                </c:pt>
                <c:pt idx="196">
                  <c:v>1.8017017738191463E-12</c:v>
                </c:pt>
                <c:pt idx="197">
                  <c:v>1.8017017738191463E-12</c:v>
                </c:pt>
                <c:pt idx="198">
                  <c:v>1.8017017738191463E-12</c:v>
                </c:pt>
                <c:pt idx="199">
                  <c:v>1.8017017738191463E-12</c:v>
                </c:pt>
                <c:pt idx="200">
                  <c:v>1.8017017738191463E-12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4" zoomScale="90" zoomScaleNormal="90" workbookViewId="0">
      <selection activeCell="G106" sqref="G10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2.93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0.83</v>
      </c>
      <c r="D9" s="36">
        <f t="shared" ref="D9:D18" si="0">C9*$C$5</f>
        <v>2.4319000000000002</v>
      </c>
      <c r="E9" s="37">
        <v>100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</v>
      </c>
      <c r="C10" s="35">
        <v>7.0000000000000007E-2</v>
      </c>
      <c r="D10" s="36">
        <f t="shared" si="0"/>
        <v>0.20510000000000003</v>
      </c>
      <c r="E10" s="37">
        <v>100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52</v>
      </c>
      <c r="C11" s="35">
        <v>0.1</v>
      </c>
      <c r="D11" s="36">
        <f t="shared" si="0"/>
        <v>0.29300000000000004</v>
      </c>
      <c r="E11" s="37">
        <v>100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0.99999999999999989</v>
      </c>
      <c r="D19" s="41">
        <f>SUM(D9:D18)</f>
        <v>2.93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73</v>
      </c>
      <c r="C36" s="63">
        <v>1</v>
      </c>
      <c r="D36" s="63">
        <v>6</v>
      </c>
      <c r="E36" s="54"/>
      <c r="F36" s="54"/>
      <c r="G36" s="54"/>
      <c r="H36" s="93">
        <v>1</v>
      </c>
      <c r="I36" s="52">
        <f>IFERROR(B36/A36,"")</f>
        <v>3.65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3">
        <v>103</v>
      </c>
      <c r="C37" s="63">
        <v>2</v>
      </c>
      <c r="D37" s="63">
        <v>28</v>
      </c>
      <c r="E37" s="54"/>
      <c r="F37" s="54"/>
      <c r="G37" s="54"/>
      <c r="H37" s="93">
        <v>1</v>
      </c>
      <c r="I37" s="56">
        <f t="shared" ref="I37:I55" si="1">IF(A37&lt;&gt;0,(B37-(B36-D36))/(A37-A36),"")</f>
        <v>7.2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v>121</v>
      </c>
      <c r="C38" s="63">
        <v>3</v>
      </c>
      <c r="D38" s="63">
        <v>28</v>
      </c>
      <c r="E38" s="93"/>
      <c r="F38" s="93"/>
      <c r="G38" s="93"/>
      <c r="H38" s="93">
        <v>1</v>
      </c>
      <c r="I38" s="56">
        <f t="shared" si="1"/>
        <v>9.1999999999999993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v>147</v>
      </c>
      <c r="C39" s="63">
        <v>4</v>
      </c>
      <c r="D39" s="63">
        <v>28</v>
      </c>
      <c r="E39" s="93"/>
      <c r="F39" s="93"/>
      <c r="G39" s="93"/>
      <c r="H39" s="93">
        <v>1</v>
      </c>
      <c r="I39" s="52">
        <f t="shared" si="1"/>
        <v>10.8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3">
        <v>175</v>
      </c>
      <c r="C40" s="63">
        <v>5</v>
      </c>
      <c r="D40" s="63">
        <v>28</v>
      </c>
      <c r="E40" s="93"/>
      <c r="F40" s="93">
        <v>0.2</v>
      </c>
      <c r="G40" s="93"/>
      <c r="H40" s="93">
        <v>0.8</v>
      </c>
      <c r="I40" s="52">
        <f t="shared" si="1"/>
        <v>11.2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3">
        <v>204</v>
      </c>
      <c r="C41" s="63">
        <v>6</v>
      </c>
      <c r="D41" s="63">
        <v>28</v>
      </c>
      <c r="E41" s="93">
        <v>0.6</v>
      </c>
      <c r="F41" s="93">
        <v>0.4</v>
      </c>
      <c r="G41" s="93"/>
      <c r="H41" s="93"/>
      <c r="I41" s="56">
        <f t="shared" si="1"/>
        <v>11.4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3">
        <v>231</v>
      </c>
      <c r="C42" s="63">
        <v>7</v>
      </c>
      <c r="D42" s="63">
        <v>28</v>
      </c>
      <c r="E42" s="93">
        <v>0.6</v>
      </c>
      <c r="F42" s="93">
        <v>0.4</v>
      </c>
      <c r="G42" s="93"/>
      <c r="H42" s="93"/>
      <c r="I42" s="56">
        <f t="shared" si="1"/>
        <v>11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63">
        <v>55</v>
      </c>
      <c r="B43" s="63">
        <v>254</v>
      </c>
      <c r="C43" s="63">
        <v>8</v>
      </c>
      <c r="D43" s="63">
        <v>28</v>
      </c>
      <c r="E43" s="93">
        <v>0.6</v>
      </c>
      <c r="F43" s="93">
        <v>0.4</v>
      </c>
      <c r="G43" s="93"/>
      <c r="H43" s="93"/>
      <c r="I43" s="52">
        <f t="shared" si="1"/>
        <v>10.199999999999999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60</v>
      </c>
      <c r="B44" s="63">
        <v>273</v>
      </c>
      <c r="C44" s="63">
        <v>9</v>
      </c>
      <c r="D44" s="63">
        <v>28</v>
      </c>
      <c r="E44" s="54">
        <v>0.6</v>
      </c>
      <c r="F44" s="54">
        <v>0.4</v>
      </c>
      <c r="G44" s="54"/>
      <c r="H44" s="54"/>
      <c r="I44" s="52">
        <f t="shared" si="1"/>
        <v>9.4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65</v>
      </c>
      <c r="B45" s="63">
        <v>289</v>
      </c>
      <c r="C45" s="63">
        <v>10</v>
      </c>
      <c r="D45" s="63">
        <v>28</v>
      </c>
      <c r="E45" s="54">
        <v>0.65</v>
      </c>
      <c r="F45" s="54">
        <v>0.35</v>
      </c>
      <c r="G45" s="54"/>
      <c r="H45" s="54"/>
      <c r="I45" s="52">
        <f t="shared" si="1"/>
        <v>8.8000000000000007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70</v>
      </c>
      <c r="B46" s="63">
        <v>302</v>
      </c>
      <c r="C46" s="63">
        <v>11</v>
      </c>
      <c r="D46" s="63">
        <v>28</v>
      </c>
      <c r="E46" s="54">
        <v>0.7</v>
      </c>
      <c r="F46" s="54">
        <v>0.3</v>
      </c>
      <c r="G46" s="54"/>
      <c r="H46" s="54"/>
      <c r="I46" s="52">
        <f t="shared" si="1"/>
        <v>8.1999999999999993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75</v>
      </c>
      <c r="B47" s="63">
        <v>312</v>
      </c>
      <c r="C47" s="63">
        <v>12</v>
      </c>
      <c r="D47" s="63">
        <v>28</v>
      </c>
      <c r="E47" s="54">
        <v>0.7</v>
      </c>
      <c r="F47" s="54">
        <v>0.3</v>
      </c>
      <c r="G47" s="54"/>
      <c r="H47" s="54"/>
      <c r="I47" s="52">
        <f t="shared" si="1"/>
        <v>7.6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80</v>
      </c>
      <c r="B48" s="63">
        <v>320</v>
      </c>
      <c r="C48" s="63">
        <v>13</v>
      </c>
      <c r="D48" s="63">
        <v>28</v>
      </c>
      <c r="E48" s="54">
        <v>0.75</v>
      </c>
      <c r="F48" s="54">
        <v>0.25</v>
      </c>
      <c r="G48" s="54"/>
      <c r="H48" s="54"/>
      <c r="I48" s="52">
        <f t="shared" si="1"/>
        <v>7.2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85</v>
      </c>
      <c r="B49" s="63">
        <v>326</v>
      </c>
      <c r="C49" s="63">
        <v>14</v>
      </c>
      <c r="D49" s="63">
        <v>28</v>
      </c>
      <c r="E49" s="54">
        <v>0.75</v>
      </c>
      <c r="F49" s="54">
        <v>0.25</v>
      </c>
      <c r="G49" s="54"/>
      <c r="H49" s="54"/>
      <c r="I49" s="52">
        <f t="shared" si="1"/>
        <v>6.8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90</v>
      </c>
      <c r="B50" s="53">
        <v>330</v>
      </c>
      <c r="C50" s="53">
        <v>15</v>
      </c>
      <c r="D50" s="53">
        <v>28</v>
      </c>
      <c r="E50" s="54">
        <v>0.75</v>
      </c>
      <c r="F50" s="54">
        <v>0.25</v>
      </c>
      <c r="G50" s="54"/>
      <c r="H50" s="54"/>
      <c r="I50" s="52">
        <f t="shared" si="1"/>
        <v>6.4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95</v>
      </c>
      <c r="B51" s="53">
        <v>333</v>
      </c>
      <c r="C51" s="53">
        <v>16</v>
      </c>
      <c r="D51" s="53">
        <v>28</v>
      </c>
      <c r="E51" s="54">
        <v>0.75</v>
      </c>
      <c r="F51" s="54">
        <v>0.25</v>
      </c>
      <c r="G51" s="54"/>
      <c r="H51" s="54"/>
      <c r="I51" s="52">
        <f t="shared" si="1"/>
        <v>6.2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100</v>
      </c>
      <c r="B52" s="53">
        <v>333</v>
      </c>
      <c r="C52" s="53">
        <v>17</v>
      </c>
      <c r="D52" s="53">
        <v>333</v>
      </c>
      <c r="E52" s="54">
        <v>0.75</v>
      </c>
      <c r="F52" s="54">
        <v>0.25</v>
      </c>
      <c r="G52" s="54"/>
      <c r="H52" s="54"/>
      <c r="I52" s="52">
        <f t="shared" si="1"/>
        <v>5.6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Alisier torminal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37</v>
      </c>
      <c r="C62" s="63">
        <v>1</v>
      </c>
      <c r="D62" s="63">
        <v>3</v>
      </c>
      <c r="E62" s="54"/>
      <c r="F62" s="54"/>
      <c r="G62" s="54"/>
      <c r="H62" s="93">
        <v>1</v>
      </c>
      <c r="I62" s="56">
        <f>IFERROR(B62/A62,"")</f>
        <v>1.85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3">
        <v>52</v>
      </c>
      <c r="C63" s="63">
        <v>2</v>
      </c>
      <c r="D63" s="63">
        <v>14</v>
      </c>
      <c r="E63" s="54"/>
      <c r="F63" s="54"/>
      <c r="G63" s="54"/>
      <c r="H63" s="93">
        <v>1</v>
      </c>
      <c r="I63" s="52">
        <f>IF(A63&lt;&gt;0,(B63-(B62-D62))/(A63-A62),"")</f>
        <v>3.6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3">
        <v>61</v>
      </c>
      <c r="C64" s="63">
        <v>3</v>
      </c>
      <c r="D64" s="63">
        <v>14</v>
      </c>
      <c r="E64" s="93"/>
      <c r="F64" s="93"/>
      <c r="G64" s="93"/>
      <c r="H64" s="93">
        <v>1</v>
      </c>
      <c r="I64" s="52">
        <f>IF(A64&lt;&gt;0,(B64-(B63-D63))/(A64-A63),"")</f>
        <v>4.5999999999999996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3">
        <v>74</v>
      </c>
      <c r="C65" s="63">
        <v>4</v>
      </c>
      <c r="D65" s="63">
        <v>14</v>
      </c>
      <c r="E65" s="93"/>
      <c r="F65" s="93"/>
      <c r="G65" s="93"/>
      <c r="H65" s="93">
        <v>1</v>
      </c>
      <c r="I65" s="52">
        <f>IF(A65&lt;&gt;0,(B65-(B64-D64))/(A65-A64),"")</f>
        <v>5.4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3">
        <v>87</v>
      </c>
      <c r="C66" s="63">
        <v>5</v>
      </c>
      <c r="D66" s="63">
        <v>14</v>
      </c>
      <c r="E66" s="93"/>
      <c r="F66" s="93"/>
      <c r="G66" s="93"/>
      <c r="H66" s="93">
        <v>1</v>
      </c>
      <c r="I66" s="52">
        <f t="shared" ref="I66:I81" si="2">IF(A66&lt;&gt;0,(B66-(B65-D65))/(A66-A65),"")</f>
        <v>5.4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3">
        <v>102</v>
      </c>
      <c r="C67" s="63">
        <v>6</v>
      </c>
      <c r="D67" s="63">
        <v>14</v>
      </c>
      <c r="E67" s="93"/>
      <c r="F67" s="93"/>
      <c r="G67" s="93"/>
      <c r="H67" s="93">
        <v>1</v>
      </c>
      <c r="I67" s="52">
        <f t="shared" si="2"/>
        <v>5.8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63">
        <v>116</v>
      </c>
      <c r="C68" s="63">
        <v>7</v>
      </c>
      <c r="D68" s="63">
        <v>14</v>
      </c>
      <c r="E68" s="93"/>
      <c r="F68" s="93"/>
      <c r="G68" s="93"/>
      <c r="H68" s="93">
        <v>1</v>
      </c>
      <c r="I68" s="52">
        <f t="shared" si="2"/>
        <v>5.6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63">
        <v>55</v>
      </c>
      <c r="B69" s="63">
        <v>127</v>
      </c>
      <c r="C69" s="63">
        <v>8</v>
      </c>
      <c r="D69" s="63">
        <v>14</v>
      </c>
      <c r="E69" s="93"/>
      <c r="F69" s="93"/>
      <c r="G69" s="93"/>
      <c r="H69" s="93">
        <v>1</v>
      </c>
      <c r="I69" s="52">
        <f t="shared" si="2"/>
        <v>5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283">
        <v>60</v>
      </c>
      <c r="B70" s="63">
        <v>137</v>
      </c>
      <c r="C70" s="63">
        <v>9</v>
      </c>
      <c r="D70" s="63">
        <v>14</v>
      </c>
      <c r="E70" s="54"/>
      <c r="F70" s="54"/>
      <c r="G70" s="54"/>
      <c r="H70" s="54">
        <v>1</v>
      </c>
      <c r="I70" s="52">
        <f t="shared" si="2"/>
        <v>4.8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283">
        <v>65</v>
      </c>
      <c r="B71" s="63">
        <v>145</v>
      </c>
      <c r="C71" s="63">
        <v>10</v>
      </c>
      <c r="D71" s="63">
        <v>14</v>
      </c>
      <c r="E71" s="54"/>
      <c r="F71" s="54">
        <v>0.5</v>
      </c>
      <c r="G71" s="54"/>
      <c r="H71" s="54">
        <v>0.5</v>
      </c>
      <c r="I71" s="52">
        <f t="shared" si="2"/>
        <v>4.4000000000000004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283">
        <v>70</v>
      </c>
      <c r="B72" s="63">
        <v>151</v>
      </c>
      <c r="C72" s="63">
        <v>11</v>
      </c>
      <c r="D72" s="63">
        <v>14</v>
      </c>
      <c r="E72" s="54"/>
      <c r="F72" s="54">
        <v>0.5</v>
      </c>
      <c r="G72" s="54"/>
      <c r="H72" s="54">
        <v>0.5</v>
      </c>
      <c r="I72" s="52">
        <f t="shared" si="2"/>
        <v>4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283">
        <v>75</v>
      </c>
      <c r="B73" s="63">
        <v>156</v>
      </c>
      <c r="C73" s="63">
        <v>12</v>
      </c>
      <c r="D73" s="63">
        <v>14</v>
      </c>
      <c r="E73" s="54"/>
      <c r="F73" s="54">
        <v>0.5</v>
      </c>
      <c r="G73" s="54"/>
      <c r="H73" s="54">
        <v>0.5</v>
      </c>
      <c r="I73" s="52">
        <f t="shared" si="2"/>
        <v>3.8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283">
        <v>80</v>
      </c>
      <c r="B74" s="63">
        <v>160</v>
      </c>
      <c r="C74" s="63">
        <v>13</v>
      </c>
      <c r="D74" s="63">
        <v>14</v>
      </c>
      <c r="E74" s="54"/>
      <c r="F74" s="54">
        <v>0.5</v>
      </c>
      <c r="G74" s="54"/>
      <c r="H74" s="54">
        <v>0.5</v>
      </c>
      <c r="I74" s="52">
        <f t="shared" si="2"/>
        <v>3.6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283">
        <v>85</v>
      </c>
      <c r="B75" s="63">
        <v>163</v>
      </c>
      <c r="C75" s="63">
        <v>14</v>
      </c>
      <c r="D75" s="63">
        <v>14</v>
      </c>
      <c r="E75" s="54"/>
      <c r="F75" s="54">
        <v>0.5</v>
      </c>
      <c r="G75" s="54"/>
      <c r="H75" s="54">
        <v>0.5</v>
      </c>
      <c r="I75" s="52">
        <f t="shared" si="2"/>
        <v>3.4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283">
        <v>90</v>
      </c>
      <c r="B76" s="53">
        <v>165</v>
      </c>
      <c r="C76" s="53">
        <v>15</v>
      </c>
      <c r="D76" s="53">
        <v>14</v>
      </c>
      <c r="E76" s="54"/>
      <c r="F76" s="54">
        <v>0.5</v>
      </c>
      <c r="G76" s="54"/>
      <c r="H76" s="54">
        <v>0.5</v>
      </c>
      <c r="I76" s="52">
        <f t="shared" si="2"/>
        <v>3.2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283">
        <v>95</v>
      </c>
      <c r="B77" s="53">
        <v>167</v>
      </c>
      <c r="C77" s="53">
        <v>16</v>
      </c>
      <c r="D77" s="53">
        <v>14</v>
      </c>
      <c r="E77" s="54"/>
      <c r="F77" s="54">
        <v>0.5</v>
      </c>
      <c r="G77" s="54"/>
      <c r="H77" s="54">
        <v>0.5</v>
      </c>
      <c r="I77" s="52">
        <f t="shared" si="2"/>
        <v>3.2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283">
        <v>100</v>
      </c>
      <c r="B78" s="53">
        <v>167</v>
      </c>
      <c r="C78" s="53">
        <v>17</v>
      </c>
      <c r="D78" s="53">
        <v>167</v>
      </c>
      <c r="E78" s="54"/>
      <c r="F78" s="54">
        <v>0.5</v>
      </c>
      <c r="G78" s="54"/>
      <c r="H78" s="54">
        <v>0.5</v>
      </c>
      <c r="I78" s="52">
        <f t="shared" si="2"/>
        <v>2.8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Cormier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37</v>
      </c>
      <c r="C88" s="63">
        <v>1</v>
      </c>
      <c r="D88" s="63">
        <v>3</v>
      </c>
      <c r="E88" s="54"/>
      <c r="F88" s="54"/>
      <c r="G88" s="54"/>
      <c r="H88" s="93">
        <v>1</v>
      </c>
      <c r="I88" s="56">
        <f>IFERROR(B88/A88,"")</f>
        <v>1.85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v>52</v>
      </c>
      <c r="C89" s="63">
        <v>2</v>
      </c>
      <c r="D89" s="63">
        <v>14</v>
      </c>
      <c r="E89" s="54"/>
      <c r="F89" s="54"/>
      <c r="G89" s="54"/>
      <c r="H89" s="93">
        <v>1</v>
      </c>
      <c r="I89" s="56">
        <f t="shared" ref="I89:I107" si="3">IF(A89&lt;&gt;0,(B89-(B88-D88))/(A89-A88),"")</f>
        <v>3.6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v>61</v>
      </c>
      <c r="C90" s="63">
        <v>3</v>
      </c>
      <c r="D90" s="63">
        <v>14</v>
      </c>
      <c r="E90" s="93"/>
      <c r="F90" s="93"/>
      <c r="G90" s="93"/>
      <c r="H90" s="93">
        <v>1</v>
      </c>
      <c r="I90" s="56">
        <f t="shared" si="3"/>
        <v>4.5999999999999996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v>74</v>
      </c>
      <c r="C91" s="63">
        <v>4</v>
      </c>
      <c r="D91" s="63">
        <v>14</v>
      </c>
      <c r="E91" s="93"/>
      <c r="F91" s="93"/>
      <c r="G91" s="93"/>
      <c r="H91" s="93">
        <v>1</v>
      </c>
      <c r="I91" s="56">
        <f t="shared" si="3"/>
        <v>5.4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v>87</v>
      </c>
      <c r="C92" s="63">
        <v>5</v>
      </c>
      <c r="D92" s="63">
        <v>14</v>
      </c>
      <c r="E92" s="93"/>
      <c r="F92" s="93"/>
      <c r="G92" s="93"/>
      <c r="H92" s="93">
        <v>1</v>
      </c>
      <c r="I92" s="56">
        <f t="shared" si="3"/>
        <v>5.4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v>102</v>
      </c>
      <c r="C93" s="63">
        <v>6</v>
      </c>
      <c r="D93" s="63">
        <v>14</v>
      </c>
      <c r="E93" s="93"/>
      <c r="F93" s="93"/>
      <c r="G93" s="93"/>
      <c r="H93" s="93">
        <v>1</v>
      </c>
      <c r="I93" s="56">
        <f t="shared" si="3"/>
        <v>5.8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v>116</v>
      </c>
      <c r="C94" s="63">
        <v>7</v>
      </c>
      <c r="D94" s="63">
        <v>14</v>
      </c>
      <c r="E94" s="93"/>
      <c r="F94" s="93"/>
      <c r="G94" s="93"/>
      <c r="H94" s="93">
        <v>1</v>
      </c>
      <c r="I94" s="56">
        <f t="shared" si="3"/>
        <v>5.6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55</v>
      </c>
      <c r="B95" s="63">
        <v>127</v>
      </c>
      <c r="C95" s="63">
        <v>8</v>
      </c>
      <c r="D95" s="63">
        <v>14</v>
      </c>
      <c r="E95" s="93"/>
      <c r="F95" s="93"/>
      <c r="G95" s="93"/>
      <c r="H95" s="93">
        <v>1</v>
      </c>
      <c r="I95" s="56">
        <f t="shared" si="3"/>
        <v>5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283">
        <v>60</v>
      </c>
      <c r="B96" s="63">
        <v>137</v>
      </c>
      <c r="C96" s="63">
        <v>9</v>
      </c>
      <c r="D96" s="63">
        <v>14</v>
      </c>
      <c r="E96" s="54"/>
      <c r="F96" s="54"/>
      <c r="G96" s="54"/>
      <c r="H96" s="54">
        <v>1</v>
      </c>
      <c r="I96" s="56">
        <f t="shared" si="3"/>
        <v>4.8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283">
        <v>65</v>
      </c>
      <c r="B97" s="63">
        <v>145</v>
      </c>
      <c r="C97" s="63">
        <v>10</v>
      </c>
      <c r="D97" s="63">
        <v>14</v>
      </c>
      <c r="E97" s="54"/>
      <c r="F97" s="54">
        <v>0.5</v>
      </c>
      <c r="G97" s="54"/>
      <c r="H97" s="54">
        <v>0.5</v>
      </c>
      <c r="I97" s="56">
        <f t="shared" si="3"/>
        <v>4.4000000000000004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283">
        <v>70</v>
      </c>
      <c r="B98" s="63">
        <v>151</v>
      </c>
      <c r="C98" s="63">
        <v>11</v>
      </c>
      <c r="D98" s="63">
        <v>14</v>
      </c>
      <c r="E98" s="54"/>
      <c r="F98" s="54">
        <v>0.5</v>
      </c>
      <c r="G98" s="54"/>
      <c r="H98" s="54">
        <v>0.5</v>
      </c>
      <c r="I98" s="56">
        <f t="shared" si="3"/>
        <v>4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283">
        <v>75</v>
      </c>
      <c r="B99" s="63">
        <v>156</v>
      </c>
      <c r="C99" s="63">
        <v>12</v>
      </c>
      <c r="D99" s="63">
        <v>14</v>
      </c>
      <c r="E99" s="54"/>
      <c r="F99" s="54">
        <v>0.5</v>
      </c>
      <c r="G99" s="54"/>
      <c r="H99" s="54">
        <v>0.5</v>
      </c>
      <c r="I99" s="56">
        <f t="shared" si="3"/>
        <v>3.8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283">
        <v>80</v>
      </c>
      <c r="B100" s="63">
        <v>160</v>
      </c>
      <c r="C100" s="63">
        <v>13</v>
      </c>
      <c r="D100" s="63">
        <v>14</v>
      </c>
      <c r="E100" s="54"/>
      <c r="F100" s="54">
        <v>0.5</v>
      </c>
      <c r="G100" s="54"/>
      <c r="H100" s="54">
        <v>0.5</v>
      </c>
      <c r="I100" s="56">
        <f t="shared" si="3"/>
        <v>3.6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283">
        <v>85</v>
      </c>
      <c r="B101" s="63">
        <v>163</v>
      </c>
      <c r="C101" s="63">
        <v>14</v>
      </c>
      <c r="D101" s="63">
        <v>14</v>
      </c>
      <c r="E101" s="54"/>
      <c r="F101" s="54">
        <v>0.5</v>
      </c>
      <c r="G101" s="54"/>
      <c r="H101" s="54">
        <v>0.5</v>
      </c>
      <c r="I101" s="56">
        <f t="shared" si="3"/>
        <v>3.4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283">
        <v>90</v>
      </c>
      <c r="B102" s="53">
        <v>165</v>
      </c>
      <c r="C102" s="53">
        <v>15</v>
      </c>
      <c r="D102" s="53">
        <v>14</v>
      </c>
      <c r="E102" s="54"/>
      <c r="F102" s="54">
        <v>0.5</v>
      </c>
      <c r="G102" s="54"/>
      <c r="H102" s="54">
        <v>0.5</v>
      </c>
      <c r="I102" s="56">
        <f t="shared" si="3"/>
        <v>3.2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283">
        <v>95</v>
      </c>
      <c r="B103" s="53">
        <v>167</v>
      </c>
      <c r="C103" s="53">
        <v>16</v>
      </c>
      <c r="D103" s="53">
        <v>14</v>
      </c>
      <c r="E103" s="54"/>
      <c r="F103" s="54">
        <v>0.5</v>
      </c>
      <c r="G103" s="54"/>
      <c r="H103" s="54">
        <v>0.5</v>
      </c>
      <c r="I103" s="56">
        <f t="shared" si="3"/>
        <v>3.2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283">
        <v>100</v>
      </c>
      <c r="B104" s="53">
        <v>167</v>
      </c>
      <c r="C104" s="53">
        <v>17</v>
      </c>
      <c r="D104" s="53">
        <v>167</v>
      </c>
      <c r="E104" s="54"/>
      <c r="F104" s="54">
        <v>0.5</v>
      </c>
      <c r="G104" s="54"/>
      <c r="H104" s="54">
        <v>0.5</v>
      </c>
      <c r="I104" s="56">
        <f t="shared" si="3"/>
        <v>2.8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5" sqref="C2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sessile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Alisier torminal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Cormier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435.66722289172486</v>
      </c>
      <c r="T3" s="62">
        <f>IF('Données projet'!E9&gt;30,$R$33-$H$33,LOOKUP('Données projet'!$E$9,$A$3:$A$203,R3:R203)-LOOKUP('Données projet'!$E$9,$A$3:$A$203,$H$3:$H$203))</f>
        <v>297.32483725004136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265.30115826265654</v>
      </c>
      <c r="AO3" s="62">
        <f>IF('Données projet'!E10&gt;30,$AM$33-$H$33,LOOKUP('Données projet'!$E$10,$A$3:$A$203,AM3:AM203)-LOOKUP('Données projet'!$E$10,$A$3:$A$203,$H$3:$H$203))</f>
        <v>187.99130270616999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287.77879820226661</v>
      </c>
      <c r="BJ3" s="62">
        <f>IF('Données projet'!E11&gt;30,$BH$33-$H$33,LOOKUP('Données projet'!$E$11,$A$3:$A$203,BH3:BH203)-LOOKUP('Données projet'!$E$11,$A$3:$A$203,$H$3:$H$203))</f>
        <v>202.51334141855753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3.65</v>
      </c>
      <c r="N4" s="14">
        <f>IF('Données projet'!$A$36&gt;35,N3+M4-V3,IF(A4&lt;'Données projet'!$A$36,$K$205^A4,IF(A4='Données projet'!$A$36,'Données projet'!$B$36,N3+M4-V3)))</f>
        <v>1.2392705892426346</v>
      </c>
      <c r="O4" s="14">
        <f>N4*VLOOKUP('Données projet'!$B$9,Paramètres!$A$1:$I$89,3,0)*VLOOKUP('Données projet'!$B$9,Paramètres!$A$1:$I$89,5,0)</f>
        <v>1.1212920291467359</v>
      </c>
      <c r="P4" s="14">
        <f>EXP(-1.0587+0.8836*LN(O4)+0.284)</f>
        <v>0.50989827066551541</v>
      </c>
      <c r="Q4" s="22">
        <f t="shared" ref="Q4:Q34" si="2">(O4+P4)*0.475*44/12</f>
        <v>2.8409897721730037</v>
      </c>
      <c r="R4" s="62">
        <f t="shared" si="0"/>
        <v>170.65342372509684</v>
      </c>
      <c r="S4" s="62">
        <f ca="1">AVERAGE(OFFSET($R$3,0,0,'Données projet'!$E$9+1,1))-AVERAGE(OFFSET($H$3,0,0,'Données projet'!$E$9+1,1))</f>
        <v>435.66722289172486</v>
      </c>
      <c r="T4" s="62">
        <f>$T$3</f>
        <v>297.32483725004136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1.85</v>
      </c>
      <c r="AI4" s="14">
        <f>IF('Données projet'!$A$62&gt;35,AI3+AH4-AQ3,IF(A4&lt;'Données projet'!$A$62,$AF$205^A4,IF(A4='Données projet'!$A$62,'Données projet'!$B$62,AI3+AH4-AQ3)))</f>
        <v>1.1978710972702193</v>
      </c>
      <c r="AJ4" s="14">
        <f>AI4*VLOOKUP('Données projet'!$B$10,Paramètres!$A$1:$I$89,3,0)*VLOOKUP('Données projet'!$B$10,Paramètres!$A$1:$I$89,5,0)</f>
        <v>1.1585809252797561</v>
      </c>
      <c r="AK4" s="14">
        <f>EXP(-1.0587+0.8836*LN(AJ4)+0.284)</f>
        <v>0.52485266773237838</v>
      </c>
      <c r="AL4" s="22">
        <f t="shared" ref="AL4:AL67" si="4">(AJ4+AK4)*0.475*44/12</f>
        <v>2.9319801744961338</v>
      </c>
      <c r="AM4" s="62">
        <f t="shared" ref="AM4:AM67" si="5">AL4+(AD4+AE4)*44/12</f>
        <v>170.74441412741999</v>
      </c>
      <c r="AN4" s="62">
        <f ca="1">AVERAGE(OFFSET($AM$3,0,0,'Données projet'!$E$10+1,1))-AVERAGE(OFFSET($H$3,0,0,'Données projet'!$E$10+1,1))</f>
        <v>265.30115826265654</v>
      </c>
      <c r="AO4" s="62">
        <f>$AO$3</f>
        <v>187.99130270616999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1.85</v>
      </c>
      <c r="BD4" s="13">
        <f>IF('Données projet'!$A$88&gt;35,BD3+BC4-BL3,IF(A4&lt;'Données projet'!$A$88,$BA$205^A4,IF(A4='Données projet'!$A$88,'Données projet'!$B$88,BD3+BC4-BL3)))</f>
        <v>1.1978710972702193</v>
      </c>
      <c r="BE4" s="14">
        <f>BD4*VLOOKUP('Données projet'!$B$11,Paramètres!$A$1:$I$89,3,0)*VLOOKUP('Données projet'!$B$11,Paramètres!$A$1:$I$89,5,0)</f>
        <v>1.2893884491016641</v>
      </c>
      <c r="BF4" s="14">
        <f>EXP(-1.0587+0.8836*LN(BE4)+0.284)</f>
        <v>0.57688223976628972</v>
      </c>
      <c r="BG4" s="22">
        <f t="shared" ref="BG4:BG67" si="7">(BE4+BF4)*0.475*44/12</f>
        <v>3.250421449778353</v>
      </c>
      <c r="BH4" s="62">
        <f t="shared" ref="BH4:BH67" si="8">BG4+(AY4+AZ4)*44/12</f>
        <v>171.06285540270218</v>
      </c>
      <c r="BI4" s="62">
        <f ca="1">AVERAGE(OFFSET($BH$3,0,0,'Données projet'!$E$11+1,1))-AVERAGE(OFFSET($H$3,0,0,'Données projet'!$E$11+1,1))</f>
        <v>287.77879820226661</v>
      </c>
      <c r="BJ4" s="62">
        <f>$BJ$3</f>
        <v>202.51334141855753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3.65</v>
      </c>
      <c r="N5" s="14">
        <f>IF('Données projet'!$A$36&gt;35,N4+M5-V4,IF(A5&lt;'Données projet'!$A$36,$K$205^A5,IF(A5='Données projet'!$A$36,'Données projet'!$B$36,N4+M5-V4)))</f>
        <v>1.5357915933617867</v>
      </c>
      <c r="O5" s="14">
        <f>N5*VLOOKUP('Données projet'!$B$9,Paramètres!$A$1:$I$89,3,0)*VLOOKUP('Données projet'!$B$9,Paramètres!$A$1:$I$89,5,0)</f>
        <v>1.3895842336737447</v>
      </c>
      <c r="P5" s="14">
        <f t="shared" ref="P5:P68" si="33">EXP(-1.0587+0.8836*LN(O5)+0.284)</f>
        <v>0.61631841327304715</v>
      </c>
      <c r="Q5" s="22">
        <f t="shared" si="2"/>
        <v>3.4936137767656628</v>
      </c>
      <c r="R5" s="62">
        <f t="shared" si="0"/>
        <v>174.0908950642665</v>
      </c>
      <c r="S5" s="62">
        <f ca="1">AVERAGE(OFFSET($R$3,0,0,'Données projet'!$E$9+1,1))-AVERAGE(OFFSET($H$3,0,0,'Données projet'!$E$9+1,1))</f>
        <v>435.66722289172486</v>
      </c>
      <c r="T5" s="62">
        <f t="shared" ref="T5:T68" si="34">$T$3</f>
        <v>297.32483725004136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1.85</v>
      </c>
      <c r="AI5" s="14">
        <f>IF('Données projet'!$A$62&gt;35,AI4+AH5-AQ4,IF(A5&lt;'Données projet'!$A$62,$AF$205^A5,IF(A5='Données projet'!$A$62,'Données projet'!$B$62,AI4+AH5-AQ4)))</f>
        <v>1.4348951656753592</v>
      </c>
      <c r="AJ5" s="14">
        <f>AI5*VLOOKUP('Données projet'!$B$10,Paramètres!$A$1:$I$89,3,0)*VLOOKUP('Données projet'!$B$10,Paramètres!$A$1:$I$89,5,0)</f>
        <v>1.3878306042412076</v>
      </c>
      <c r="AK5" s="14">
        <f t="shared" ref="AK5:AK68" si="35">EXP(-1.0587+0.8836*LN(AJ5)+0.284)</f>
        <v>0.61563111427651906</v>
      </c>
      <c r="AL5" s="22">
        <f t="shared" si="4"/>
        <v>3.4893624930850407</v>
      </c>
      <c r="AM5" s="62">
        <f t="shared" si="5"/>
        <v>174.08664378058589</v>
      </c>
      <c r="AN5" s="62">
        <f ca="1">AVERAGE(OFFSET($AM$3,0,0,'Données projet'!$E$10+1,1))-AVERAGE(OFFSET($H$3,0,0,'Données projet'!$E$10+1,1))</f>
        <v>265.30115826265654</v>
      </c>
      <c r="AO5" s="62">
        <f t="shared" ref="AO5:AO68" si="36">$AO$3</f>
        <v>187.99130270616999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1.85</v>
      </c>
      <c r="BD5" s="13">
        <f>IF('Données projet'!$A$88&gt;35,BD4+BC5-BL4,IF(A5&lt;'Données projet'!$A$88,$BA$205^A5,IF(A5='Données projet'!$A$88,'Données projet'!$B$88,BD4+BC5-BL4)))</f>
        <v>1.4348951656753592</v>
      </c>
      <c r="BE5" s="14">
        <f>BD5*VLOOKUP('Données projet'!$B$11,Paramètres!$A$1:$I$89,3,0)*VLOOKUP('Données projet'!$B$11,Paramètres!$A$1:$I$89,5,0)</f>
        <v>1.5445211563329566</v>
      </c>
      <c r="BF5" s="14">
        <f t="shared" ref="BF5:BF68" si="37">EXP(-1.0587+0.8836*LN(BE5)+0.284)</f>
        <v>0.6766597140642594</v>
      </c>
      <c r="BG5" s="22">
        <f t="shared" si="7"/>
        <v>3.8685566826084838</v>
      </c>
      <c r="BH5" s="62">
        <f t="shared" si="8"/>
        <v>174.46583797010931</v>
      </c>
      <c r="BI5" s="62">
        <f ca="1">AVERAGE(OFFSET($BH$3,0,0,'Données projet'!$E$11+1,1))-AVERAGE(OFFSET($H$3,0,0,'Données projet'!$E$11+1,1))</f>
        <v>287.77879820226661</v>
      </c>
      <c r="BJ5" s="62">
        <f t="shared" ref="BJ5:BJ68" si="38">$BJ$3</f>
        <v>202.51334141855753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3.65</v>
      </c>
      <c r="N6" s="14">
        <f>IF('Données projet'!$A$36&gt;35,N5+M6-V5,IF(A6&lt;'Données projet'!$A$36,$K$205^A6,IF(A6='Données projet'!$A$36,'Données projet'!$B$36,N5+M6-V5)))</f>
        <v>1.9032613528593461</v>
      </c>
      <c r="O6" s="14">
        <f>N6*VLOOKUP('Données projet'!$B$9,Paramètres!$A$1:$I$89,3,0)*VLOOKUP('Données projet'!$B$9,Paramètres!$A$1:$I$89,5,0)</f>
        <v>1.7220708720671365</v>
      </c>
      <c r="P6" s="14">
        <f t="shared" si="33"/>
        <v>0.74494935243383209</v>
      </c>
      <c r="Q6" s="22">
        <f t="shared" si="2"/>
        <v>4.2967268910058536</v>
      </c>
      <c r="R6" s="62">
        <f t="shared" si="0"/>
        <v>177.65174746089073</v>
      </c>
      <c r="S6" s="62">
        <f ca="1">AVERAGE(OFFSET($R$3,0,0,'Données projet'!$E$9+1,1))-AVERAGE(OFFSET($H$3,0,0,'Données projet'!$E$9+1,1))</f>
        <v>435.66722289172486</v>
      </c>
      <c r="T6" s="62">
        <f t="shared" si="34"/>
        <v>297.32483725004136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1.85</v>
      </c>
      <c r="AI6" s="14">
        <f>IF('Données projet'!$A$62&gt;35,AI5+AH6-AQ5,IF(A6&lt;'Données projet'!$A$62,$AF$205^A6,IF(A6='Données projet'!$A$62,'Données projet'!$B$62,AI5+AH6-AQ5)))</f>
        <v>1.7188194465752757</v>
      </c>
      <c r="AJ6" s="14">
        <f>AI6*VLOOKUP('Données projet'!$B$10,Paramètres!$A$1:$I$89,3,0)*VLOOKUP('Données projet'!$B$10,Paramètres!$A$1:$I$89,5,0)</f>
        <v>1.6624421687276068</v>
      </c>
      <c r="AK6" s="14">
        <f t="shared" si="35"/>
        <v>0.72211058867781308</v>
      </c>
      <c r="AL6" s="22">
        <f t="shared" si="4"/>
        <v>4.1530960524811062</v>
      </c>
      <c r="AM6" s="62">
        <f t="shared" si="5"/>
        <v>177.508116622366</v>
      </c>
      <c r="AN6" s="62">
        <f ca="1">AVERAGE(OFFSET($AM$3,0,0,'Données projet'!$E$10+1,1))-AVERAGE(OFFSET($H$3,0,0,'Données projet'!$E$10+1,1))</f>
        <v>265.30115826265654</v>
      </c>
      <c r="AO6" s="62">
        <f t="shared" si="36"/>
        <v>187.99130270616999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1.85</v>
      </c>
      <c r="BD6" s="13">
        <f>IF('Données projet'!$A$88&gt;35,BD5+BC6-BL5,IF(A6&lt;'Données projet'!$A$88,$BA$205^A6,IF(A6='Données projet'!$A$88,'Données projet'!$B$88,BD5+BC6-BL5)))</f>
        <v>1.7188194465752757</v>
      </c>
      <c r="BE6" s="14">
        <f>BD6*VLOOKUP('Données projet'!$B$11,Paramètres!$A$1:$I$89,3,0)*VLOOKUP('Données projet'!$B$11,Paramètres!$A$1:$I$89,5,0)</f>
        <v>1.8501372522936268</v>
      </c>
      <c r="BF6" s="14">
        <f t="shared" si="37"/>
        <v>0.79369468684461497</v>
      </c>
      <c r="BG6" s="22">
        <f t="shared" si="7"/>
        <v>4.6046739606657718</v>
      </c>
      <c r="BH6" s="62">
        <f t="shared" si="8"/>
        <v>177.95969453055065</v>
      </c>
      <c r="BI6" s="62">
        <f ca="1">AVERAGE(OFFSET($BH$3,0,0,'Données projet'!$E$11+1,1))-AVERAGE(OFFSET($H$3,0,0,'Données projet'!$E$11+1,1))</f>
        <v>287.77879820226661</v>
      </c>
      <c r="BJ6" s="62">
        <f t="shared" si="38"/>
        <v>202.51334141855753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3.65</v>
      </c>
      <c r="N7" s="14">
        <f>IF('Données projet'!$A$36&gt;35,N6+M7-V6,IF(A7&lt;'Données projet'!$A$36,$K$205^A7,IF(A7='Données projet'!$A$36,'Données projet'!$B$36,N6+M7-V6)))</f>
        <v>2.3586558182407358</v>
      </c>
      <c r="O7" s="14">
        <f>N7*VLOOKUP('Données projet'!$B$9,Paramètres!$A$1:$I$89,3,0)*VLOOKUP('Données projet'!$B$9,Paramètres!$A$1:$I$89,5,0)</f>
        <v>2.1341117843442179</v>
      </c>
      <c r="P7" s="14">
        <f t="shared" si="33"/>
        <v>0.90042667189585779</v>
      </c>
      <c r="Q7" s="22">
        <f t="shared" si="2"/>
        <v>5.2851544779514645</v>
      </c>
      <c r="R7" s="62">
        <f t="shared" si="0"/>
        <v>181.37127654212841</v>
      </c>
      <c r="S7" s="62">
        <f ca="1">AVERAGE(OFFSET($R$3,0,0,'Données projet'!$E$9+1,1))-AVERAGE(OFFSET($H$3,0,0,'Données projet'!$E$9+1,1))</f>
        <v>435.66722289172486</v>
      </c>
      <c r="T7" s="62">
        <f t="shared" si="34"/>
        <v>297.32483725004136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1.85</v>
      </c>
      <c r="AI7" s="14">
        <f>IF('Données projet'!$A$62&gt;35,AI6+AH7-AQ6,IF(A7&lt;'Données projet'!$A$62,$AF$205^A7,IF(A7='Données projet'!$A$62,'Données projet'!$B$62,AI6+AH7-AQ6)))</f>
        <v>2.0589241364785167</v>
      </c>
      <c r="AJ7" s="14">
        <f>AI7*VLOOKUP('Données projet'!$B$10,Paramètres!$A$1:$I$89,3,0)*VLOOKUP('Données projet'!$B$10,Paramètres!$A$1:$I$89,5,0)</f>
        <v>1.9913914248020212</v>
      </c>
      <c r="AK7" s="14">
        <f t="shared" si="35"/>
        <v>0.84700673859444386</v>
      </c>
      <c r="AL7" s="22">
        <f t="shared" si="4"/>
        <v>4.9435434679155099</v>
      </c>
      <c r="AM7" s="62">
        <f t="shared" si="5"/>
        <v>181.02966553209245</v>
      </c>
      <c r="AN7" s="62">
        <f ca="1">AVERAGE(OFFSET($AM$3,0,0,'Données projet'!$E$10+1,1))-AVERAGE(OFFSET($H$3,0,0,'Données projet'!$E$10+1,1))</f>
        <v>265.30115826265654</v>
      </c>
      <c r="AO7" s="62">
        <f t="shared" si="36"/>
        <v>187.99130270616999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1.85</v>
      </c>
      <c r="BD7" s="13">
        <f>IF('Données projet'!$A$88&gt;35,BD6+BC7-BL6,IF(A7&lt;'Données projet'!$A$88,$BA$205^A7,IF(A7='Données projet'!$A$88,'Données projet'!$B$88,BD6+BC7-BL6)))</f>
        <v>2.0589241364785167</v>
      </c>
      <c r="BE7" s="14">
        <f>BD7*VLOOKUP('Données projet'!$B$11,Paramètres!$A$1:$I$89,3,0)*VLOOKUP('Données projet'!$B$11,Paramètres!$A$1:$I$89,5,0)</f>
        <v>2.2162259405054749</v>
      </c>
      <c r="BF7" s="14">
        <f t="shared" si="37"/>
        <v>0.93097201271472108</v>
      </c>
      <c r="BG7" s="22">
        <f t="shared" si="7"/>
        <v>5.4813697685251741</v>
      </c>
      <c r="BH7" s="62">
        <f t="shared" si="8"/>
        <v>181.56749183270213</v>
      </c>
      <c r="BI7" s="62">
        <f ca="1">AVERAGE(OFFSET($BH$3,0,0,'Données projet'!$E$11+1,1))-AVERAGE(OFFSET($H$3,0,0,'Données projet'!$E$11+1,1))</f>
        <v>287.77879820226661</v>
      </c>
      <c r="BJ7" s="62">
        <f t="shared" si="38"/>
        <v>202.51334141855753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3.65</v>
      </c>
      <c r="N8" s="14">
        <f>IF('Données projet'!$A$36&gt;35,N7+M8-V7,IF(A8&lt;'Données projet'!$A$36,$K$205^A8,IF(A8='Données projet'!$A$36,'Données projet'!$B$36,N7+M8-V7)))</f>
        <v>2.9230127856917649</v>
      </c>
      <c r="O8" s="14">
        <f>N8*VLOOKUP('Données projet'!$B$9,Paramètres!$A$1:$I$89,3,0)*VLOOKUP('Données projet'!$B$9,Paramètres!$A$1:$I$89,5,0)</f>
        <v>2.6447419684939089</v>
      </c>
      <c r="P8" s="14">
        <f t="shared" si="33"/>
        <v>1.0883534414958294</v>
      </c>
      <c r="Q8" s="22">
        <f t="shared" si="2"/>
        <v>6.5018078390654601</v>
      </c>
      <c r="R8" s="62">
        <f t="shared" si="0"/>
        <v>185.29285571551281</v>
      </c>
      <c r="S8" s="62">
        <f ca="1">AVERAGE(OFFSET($R$3,0,0,'Données projet'!$E$9+1,1))-AVERAGE(OFFSET($H$3,0,0,'Données projet'!$E$9+1,1))</f>
        <v>435.66722289172486</v>
      </c>
      <c r="T8" s="62">
        <f t="shared" si="34"/>
        <v>297.32483725004136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1.85</v>
      </c>
      <c r="AI8" s="14">
        <f>IF('Données projet'!$A$62&gt;35,AI7+AH8-AQ7,IF(A8&lt;'Données projet'!$A$62,$AF$205^A8,IF(A8='Données projet'!$A$62,'Données projet'!$B$62,AI7+AH8-AQ7)))</f>
        <v>2.4663257145596598</v>
      </c>
      <c r="AJ8" s="14">
        <f>AI8*VLOOKUP('Données projet'!$B$10,Paramètres!$A$1:$I$89,3,0)*VLOOKUP('Données projet'!$B$10,Paramètres!$A$1:$I$89,5,0)</f>
        <v>2.3854302311221032</v>
      </c>
      <c r="AK8" s="14">
        <f t="shared" si="35"/>
        <v>0.99350490973688099</v>
      </c>
      <c r="AL8" s="22">
        <f t="shared" si="4"/>
        <v>5.884978703662731</v>
      </c>
      <c r="AM8" s="62">
        <f t="shared" si="5"/>
        <v>184.67602658011009</v>
      </c>
      <c r="AN8" s="62">
        <f ca="1">AVERAGE(OFFSET($AM$3,0,0,'Données projet'!$E$10+1,1))-AVERAGE(OFFSET($H$3,0,0,'Données projet'!$E$10+1,1))</f>
        <v>265.30115826265654</v>
      </c>
      <c r="AO8" s="62">
        <f t="shared" si="36"/>
        <v>187.99130270616999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1.85</v>
      </c>
      <c r="BD8" s="13">
        <f>IF('Données projet'!$A$88&gt;35,BD7+BC8-BL7,IF(A8&lt;'Données projet'!$A$88,$BA$205^A8,IF(A8='Données projet'!$A$88,'Données projet'!$B$88,BD7+BC8-BL7)))</f>
        <v>2.4663257145596598</v>
      </c>
      <c r="BE8" s="14">
        <f>BD8*VLOOKUP('Données projet'!$B$11,Paramètres!$A$1:$I$89,3,0)*VLOOKUP('Données projet'!$B$11,Paramètres!$A$1:$I$89,5,0)</f>
        <v>2.6547529991520178</v>
      </c>
      <c r="BF8" s="14">
        <f t="shared" si="37"/>
        <v>1.0919928063318112</v>
      </c>
      <c r="BG8" s="22">
        <f t="shared" si="7"/>
        <v>6.5255822778843351</v>
      </c>
      <c r="BH8" s="62">
        <f t="shared" si="8"/>
        <v>185.31663015433168</v>
      </c>
      <c r="BI8" s="62">
        <f ca="1">AVERAGE(OFFSET($BH$3,0,0,'Données projet'!$E$11+1,1))-AVERAGE(OFFSET($H$3,0,0,'Données projet'!$E$11+1,1))</f>
        <v>287.77879820226661</v>
      </c>
      <c r="BJ8" s="62">
        <f t="shared" si="38"/>
        <v>202.51334141855753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3.65</v>
      </c>
      <c r="N9" s="14">
        <f>IF('Données projet'!$A$36&gt;35,N8+M9-V8,IF(A9&lt;'Données projet'!$A$36,$K$205^A9,IF(A9='Données projet'!$A$36,'Données projet'!$B$36,N8+M9-V8)))</f>
        <v>3.6224037772879885</v>
      </c>
      <c r="O9" s="14">
        <f>N9*VLOOKUP('Données projet'!$B$9,Paramètres!$A$1:$I$89,3,0)*VLOOKUP('Données projet'!$B$9,Paramètres!$A$1:$I$89,5,0)</f>
        <v>3.2775509376901719</v>
      </c>
      <c r="P9" s="14">
        <f t="shared" si="33"/>
        <v>1.315502139804245</v>
      </c>
      <c r="Q9" s="22">
        <f t="shared" si="2"/>
        <v>7.9995674433027766</v>
      </c>
      <c r="R9" s="62">
        <f t="shared" si="0"/>
        <v>189.46981953956174</v>
      </c>
      <c r="S9" s="62">
        <f ca="1">AVERAGE(OFFSET($R$3,0,0,'Données projet'!$E$9+1,1))-AVERAGE(OFFSET($H$3,0,0,'Données projet'!$E$9+1,1))</f>
        <v>435.66722289172486</v>
      </c>
      <c r="T9" s="62">
        <f t="shared" si="34"/>
        <v>297.32483725004136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1.85</v>
      </c>
      <c r="AI9" s="14">
        <f>IF('Données projet'!$A$62&gt;35,AI8+AH9-AQ8,IF(A9&lt;'Données projet'!$A$62,$AF$205^A9,IF(A9='Données projet'!$A$62,'Données projet'!$B$62,AI8+AH9-AQ8)))</f>
        <v>2.9543402899253373</v>
      </c>
      <c r="AJ9" s="14">
        <f>AI9*VLOOKUP('Données projet'!$B$10,Paramètres!$A$1:$I$89,3,0)*VLOOKUP('Données projet'!$B$10,Paramètres!$A$1:$I$89,5,0)</f>
        <v>2.8574379284157865</v>
      </c>
      <c r="AK9" s="14">
        <f t="shared" si="35"/>
        <v>1.1653413847795835</v>
      </c>
      <c r="AL9" s="22">
        <f t="shared" si="4"/>
        <v>7.0063406371486012</v>
      </c>
      <c r="AM9" s="62">
        <f t="shared" si="5"/>
        <v>188.47659273340759</v>
      </c>
      <c r="AN9" s="62">
        <f ca="1">AVERAGE(OFFSET($AM$3,0,0,'Données projet'!$E$10+1,1))-AVERAGE(OFFSET($H$3,0,0,'Données projet'!$E$10+1,1))</f>
        <v>265.30115826265654</v>
      </c>
      <c r="AO9" s="62">
        <f t="shared" si="36"/>
        <v>187.99130270616999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1.85</v>
      </c>
      <c r="BD9" s="13">
        <f>IF('Données projet'!$A$88&gt;35,BD8+BC9-BL8,IF(A9&lt;'Données projet'!$A$88,$BA$205^A9,IF(A9='Données projet'!$A$88,'Données projet'!$B$88,BD8+BC9-BL8)))</f>
        <v>2.9543402899253373</v>
      </c>
      <c r="BE9" s="14">
        <f>BD9*VLOOKUP('Données projet'!$B$11,Paramètres!$A$1:$I$89,3,0)*VLOOKUP('Données projet'!$B$11,Paramètres!$A$1:$I$89,5,0)</f>
        <v>3.1800518880756328</v>
      </c>
      <c r="BF9" s="14">
        <f t="shared" si="37"/>
        <v>1.2808637346715033</v>
      </c>
      <c r="BG9" s="22">
        <f t="shared" si="7"/>
        <v>7.7694280429512608</v>
      </c>
      <c r="BH9" s="62">
        <f t="shared" si="8"/>
        <v>189.23968013921024</v>
      </c>
      <c r="BI9" s="62">
        <f ca="1">AVERAGE(OFFSET($BH$3,0,0,'Données projet'!$E$11+1,1))-AVERAGE(OFFSET($H$3,0,0,'Données projet'!$E$11+1,1))</f>
        <v>287.77879820226661</v>
      </c>
      <c r="BJ9" s="62">
        <f t="shared" si="38"/>
        <v>202.51334141855753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3.65</v>
      </c>
      <c r="N10" s="14">
        <f>IF('Données projet'!$A$36&gt;35,N9+M10-V9,IF(A10&lt;'Données projet'!$A$36,$K$205^A10,IF(A10='Données projet'!$A$36,'Données projet'!$B$36,N9+M10-V9)))</f>
        <v>4.4891384635544309</v>
      </c>
      <c r="O10" s="14">
        <f>N10*VLOOKUP('Données projet'!$B$9,Paramètres!$A$1:$I$89,3,0)*VLOOKUP('Données projet'!$B$9,Paramètres!$A$1:$I$89,5,0)</f>
        <v>4.0617724818240486</v>
      </c>
      <c r="P10" s="14">
        <f t="shared" si="33"/>
        <v>1.590058719758437</v>
      </c>
      <c r="Q10" s="22">
        <f t="shared" si="2"/>
        <v>9.8436060094228282</v>
      </c>
      <c r="R10" s="62">
        <f t="shared" si="0"/>
        <v>193.96778694515905</v>
      </c>
      <c r="S10" s="62">
        <f ca="1">AVERAGE(OFFSET($R$3,0,0,'Données projet'!$E$9+1,1))-AVERAGE(OFFSET($H$3,0,0,'Données projet'!$E$9+1,1))</f>
        <v>435.66722289172486</v>
      </c>
      <c r="T10" s="62">
        <f t="shared" si="34"/>
        <v>297.32483725004136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1.85</v>
      </c>
      <c r="AI10" s="14">
        <f>IF('Données projet'!$A$62&gt;35,AI9+AH10-AQ9,IF(A10&lt;'Données projet'!$A$62,$AF$205^A10,IF(A10='Données projet'!$A$62,'Données projet'!$B$62,AI9+AH10-AQ9)))</f>
        <v>3.5389188448024815</v>
      </c>
      <c r="AJ10" s="14">
        <f>AI10*VLOOKUP('Données projet'!$B$10,Paramètres!$A$1:$I$89,3,0)*VLOOKUP('Données projet'!$B$10,Paramètres!$A$1:$I$89,5,0)</f>
        <v>3.4228423066929601</v>
      </c>
      <c r="AK10" s="14">
        <f t="shared" si="35"/>
        <v>1.3668986733439035</v>
      </c>
      <c r="AL10" s="22">
        <f t="shared" si="4"/>
        <v>8.3421322068975368</v>
      </c>
      <c r="AM10" s="62">
        <f t="shared" si="5"/>
        <v>192.46631314263377</v>
      </c>
      <c r="AN10" s="62">
        <f ca="1">AVERAGE(OFFSET($AM$3,0,0,'Données projet'!$E$10+1,1))-AVERAGE(OFFSET($H$3,0,0,'Données projet'!$E$10+1,1))</f>
        <v>265.30115826265654</v>
      </c>
      <c r="AO10" s="62">
        <f t="shared" si="36"/>
        <v>187.99130270616999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1.85</v>
      </c>
      <c r="BD10" s="13">
        <f>IF('Données projet'!$A$88&gt;35,BD9+BC10-BL9,IF(A10&lt;'Données projet'!$A$88,$BA$205^A10,IF(A10='Données projet'!$A$88,'Données projet'!$B$88,BD9+BC10-BL9)))</f>
        <v>3.5389188448024815</v>
      </c>
      <c r="BE10" s="14">
        <f>BD10*VLOOKUP('Données projet'!$B$11,Paramètres!$A$1:$I$89,3,0)*VLOOKUP('Données projet'!$B$11,Paramètres!$A$1:$I$89,5,0)</f>
        <v>3.8092922445453912</v>
      </c>
      <c r="BF10" s="14">
        <f t="shared" si="37"/>
        <v>1.5024017532750285</v>
      </c>
      <c r="BG10" s="22">
        <f t="shared" si="7"/>
        <v>9.2512003795372308</v>
      </c>
      <c r="BH10" s="62">
        <f t="shared" si="8"/>
        <v>193.37538131527347</v>
      </c>
      <c r="BI10" s="62">
        <f ca="1">AVERAGE(OFFSET($BH$3,0,0,'Données projet'!$E$11+1,1))-AVERAGE(OFFSET($H$3,0,0,'Données projet'!$E$11+1,1))</f>
        <v>287.77879820226661</v>
      </c>
      <c r="BJ10" s="62">
        <f t="shared" si="38"/>
        <v>202.51334141855753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3.65</v>
      </c>
      <c r="N11" s="14">
        <f>IF('Données projet'!$A$36&gt;35,N10+M11-V10,IF(A11&lt;'Données projet'!$A$36,$K$205^A11,IF(A11='Données projet'!$A$36,'Données projet'!$B$36,N10+M11-V10)))</f>
        <v>5.563257268920875</v>
      </c>
      <c r="O11" s="14">
        <f>N11*VLOOKUP('Données projet'!$B$9,Paramètres!$A$1:$I$89,3,0)*VLOOKUP('Données projet'!$B$9,Paramètres!$A$1:$I$89,5,0)</f>
        <v>5.0336351769196082</v>
      </c>
      <c r="P11" s="14">
        <f t="shared" si="33"/>
        <v>1.9219176128866391</v>
      </c>
      <c r="Q11" s="22">
        <f t="shared" si="2"/>
        <v>12.11425444224588</v>
      </c>
      <c r="R11" s="62">
        <f t="shared" si="0"/>
        <v>198.86752730846644</v>
      </c>
      <c r="S11" s="62">
        <f ca="1">AVERAGE(OFFSET($R$3,0,0,'Données projet'!$E$9+1,1))-AVERAGE(OFFSET($H$3,0,0,'Données projet'!$E$9+1,1))</f>
        <v>435.66722289172486</v>
      </c>
      <c r="T11" s="62">
        <f t="shared" si="34"/>
        <v>297.32483725004136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1.85</v>
      </c>
      <c r="AI11" s="14">
        <f>IF('Données projet'!$A$62&gt;35,AI10+AH11-AQ10,IF(A11&lt;'Données projet'!$A$62,$AF$205^A11,IF(A11='Données projet'!$A$62,'Données projet'!$B$62,AI10+AH11-AQ10)))</f>
        <v>4.239168599773806</v>
      </c>
      <c r="AJ11" s="14">
        <f>AI11*VLOOKUP('Données projet'!$B$10,Paramètres!$A$1:$I$89,3,0)*VLOOKUP('Données projet'!$B$10,Paramètres!$A$1:$I$89,5,0)</f>
        <v>4.1001238697012248</v>
      </c>
      <c r="AK11" s="14">
        <f t="shared" si="35"/>
        <v>1.6033172833235654</v>
      </c>
      <c r="AL11" s="22">
        <f t="shared" si="4"/>
        <v>9.9334933415181759</v>
      </c>
      <c r="AM11" s="62">
        <f t="shared" si="5"/>
        <v>196.68676620773874</v>
      </c>
      <c r="AN11" s="62">
        <f ca="1">AVERAGE(OFFSET($AM$3,0,0,'Données projet'!$E$10+1,1))-AVERAGE(OFFSET($H$3,0,0,'Données projet'!$E$10+1,1))</f>
        <v>265.30115826265654</v>
      </c>
      <c r="AO11" s="62">
        <f t="shared" si="36"/>
        <v>187.99130270616999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1.85</v>
      </c>
      <c r="BD11" s="13">
        <f>IF('Données projet'!$A$88&gt;35,BD10+BC11-BL10,IF(A11&lt;'Données projet'!$A$88,$BA$205^A11,IF(A11='Données projet'!$A$88,'Données projet'!$B$88,BD10+BC11-BL10)))</f>
        <v>4.239168599773806</v>
      </c>
      <c r="BE11" s="14">
        <f>BD11*VLOOKUP('Données projet'!$B$11,Paramètres!$A$1:$I$89,3,0)*VLOOKUP('Données projet'!$B$11,Paramètres!$A$1:$I$89,5,0)</f>
        <v>4.5630410807965243</v>
      </c>
      <c r="BF11" s="14">
        <f t="shared" si="37"/>
        <v>1.7622569576636304</v>
      </c>
      <c r="BG11" s="22">
        <f t="shared" si="7"/>
        <v>11.016560750318101</v>
      </c>
      <c r="BH11" s="62">
        <f t="shared" si="8"/>
        <v>197.76983361653865</v>
      </c>
      <c r="BI11" s="62">
        <f ca="1">AVERAGE(OFFSET($BH$3,0,0,'Données projet'!$E$11+1,1))-AVERAGE(OFFSET($H$3,0,0,'Données projet'!$E$11+1,1))</f>
        <v>287.77879820226661</v>
      </c>
      <c r="BJ11" s="62">
        <f t="shared" si="38"/>
        <v>202.51334141855753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3.65</v>
      </c>
      <c r="N12" s="14">
        <f>IF('Données projet'!$A$36&gt;35,N11+M12-V11,IF(A12&lt;'Données projet'!$A$36,$K$205^A12,IF(A12='Données projet'!$A$36,'Données projet'!$B$36,N11+M12-V11)))</f>
        <v>6.8943811137639424</v>
      </c>
      <c r="O12" s="14">
        <f>N12*VLOOKUP('Données projet'!$B$9,Paramètres!$A$1:$I$89,3,0)*VLOOKUP('Données projet'!$B$9,Paramètres!$A$1:$I$89,5,0)</f>
        <v>6.2380360317336141</v>
      </c>
      <c r="P12" s="14">
        <f t="shared" si="33"/>
        <v>2.3230383034439352</v>
      </c>
      <c r="Q12" s="22">
        <f t="shared" si="2"/>
        <v>14.910537800434229</v>
      </c>
      <c r="R12" s="62">
        <f t="shared" si="0"/>
        <v>204.26849655299031</v>
      </c>
      <c r="S12" s="62">
        <f ca="1">AVERAGE(OFFSET($R$3,0,0,'Données projet'!$E$9+1,1))-AVERAGE(OFFSET($H$3,0,0,'Données projet'!$E$9+1,1))</f>
        <v>435.66722289172486</v>
      </c>
      <c r="T12" s="62">
        <f t="shared" si="34"/>
        <v>297.32483725004136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1.85</v>
      </c>
      <c r="AI12" s="14">
        <f>IF('Données projet'!$A$62&gt;35,AI11+AH12-AQ11,IF(A12&lt;'Données projet'!$A$62,$AF$205^A12,IF(A12='Données projet'!$A$62,'Données projet'!$B$62,AI11+AH12-AQ11)))</f>
        <v>5.0779775421245086</v>
      </c>
      <c r="AJ12" s="14">
        <f>AI12*VLOOKUP('Données projet'!$B$10,Paramètres!$A$1:$I$89,3,0)*VLOOKUP('Données projet'!$B$10,Paramètres!$A$1:$I$89,5,0)</f>
        <v>4.9114198787428247</v>
      </c>
      <c r="AK12" s="14">
        <f t="shared" si="35"/>
        <v>1.8806268241635085</v>
      </c>
      <c r="AL12" s="22">
        <f t="shared" si="4"/>
        <v>11.829481340895198</v>
      </c>
      <c r="AM12" s="62">
        <f t="shared" si="5"/>
        <v>201.18744009345127</v>
      </c>
      <c r="AN12" s="62">
        <f ca="1">AVERAGE(OFFSET($AM$3,0,0,'Données projet'!$E$10+1,1))-AVERAGE(OFFSET($H$3,0,0,'Données projet'!$E$10+1,1))</f>
        <v>265.30115826265654</v>
      </c>
      <c r="AO12" s="62">
        <f t="shared" si="36"/>
        <v>187.99130270616999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1.85</v>
      </c>
      <c r="BD12" s="13">
        <f>IF('Données projet'!$A$88&gt;35,BD11+BC12-BL11,IF(A12&lt;'Données projet'!$A$88,$BA$205^A12,IF(A12='Données projet'!$A$88,'Données projet'!$B$88,BD11+BC12-BL11)))</f>
        <v>5.0779775421245086</v>
      </c>
      <c r="BE12" s="14">
        <f>BD12*VLOOKUP('Données projet'!$B$11,Paramètres!$A$1:$I$89,3,0)*VLOOKUP('Données projet'!$B$11,Paramètres!$A$1:$I$89,5,0)</f>
        <v>5.4659350263428204</v>
      </c>
      <c r="BF12" s="14">
        <f t="shared" si="37"/>
        <v>2.0670566831170194</v>
      </c>
      <c r="BG12" s="22">
        <f t="shared" si="7"/>
        <v>13.119960560642554</v>
      </c>
      <c r="BH12" s="62">
        <f t="shared" si="8"/>
        <v>202.47791931319864</v>
      </c>
      <c r="BI12" s="62">
        <f ca="1">AVERAGE(OFFSET($BH$3,0,0,'Données projet'!$E$11+1,1))-AVERAGE(OFFSET($H$3,0,0,'Données projet'!$E$11+1,1))</f>
        <v>287.77879820226661</v>
      </c>
      <c r="BJ12" s="62">
        <f t="shared" si="38"/>
        <v>202.51334141855753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3.65</v>
      </c>
      <c r="N13" s="14">
        <f>IF('Données projet'!$A$36&gt;35,N12+M13-V12,IF(A13&lt;'Données projet'!$A$36,$K$205^A13,IF(A13='Données projet'!$A$36,'Données projet'!$B$36,N12+M13-V12)))</f>
        <v>8.5440037453175322</v>
      </c>
      <c r="O13" s="14">
        <f>N13*VLOOKUP('Données projet'!$B$9,Paramètres!$A$1:$I$89,3,0)*VLOOKUP('Données projet'!$B$9,Paramètres!$A$1:$I$89,5,0)</f>
        <v>7.7306145887633031</v>
      </c>
      <c r="P13" s="14">
        <f t="shared" si="33"/>
        <v>2.8078763226288115</v>
      </c>
      <c r="Q13" s="22">
        <f t="shared" si="2"/>
        <v>18.354538337341264</v>
      </c>
      <c r="R13" s="62">
        <f t="shared" si="0"/>
        <v>210.29320032238616</v>
      </c>
      <c r="S13" s="62">
        <f ca="1">AVERAGE(OFFSET($R$3,0,0,'Données projet'!$E$9+1,1))-AVERAGE(OFFSET($H$3,0,0,'Données projet'!$E$9+1,1))</f>
        <v>435.66722289172486</v>
      </c>
      <c r="T13" s="62">
        <f t="shared" si="34"/>
        <v>297.32483725004136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1.85</v>
      </c>
      <c r="AI13" s="14">
        <f>IF('Données projet'!$A$62&gt;35,AI12+AH13-AQ12,IF(A13&lt;'Données projet'!$A$62,$AF$205^A13,IF(A13='Données projet'!$A$62,'Données projet'!$B$62,AI12+AH13-AQ12)))</f>
        <v>6.0827625302982158</v>
      </c>
      <c r="AJ13" s="14">
        <f>AI13*VLOOKUP('Données projet'!$B$10,Paramètres!$A$1:$I$89,3,0)*VLOOKUP('Données projet'!$B$10,Paramètres!$A$1:$I$89,5,0)</f>
        <v>5.8832479193044351</v>
      </c>
      <c r="AK13" s="14">
        <f t="shared" si="35"/>
        <v>2.2058997857441365</v>
      </c>
      <c r="AL13" s="22">
        <f t="shared" si="4"/>
        <v>14.088598919626262</v>
      </c>
      <c r="AM13" s="62">
        <f t="shared" si="5"/>
        <v>206.02726090467115</v>
      </c>
      <c r="AN13" s="62">
        <f ca="1">AVERAGE(OFFSET($AM$3,0,0,'Données projet'!$E$10+1,1))-AVERAGE(OFFSET($H$3,0,0,'Données projet'!$E$10+1,1))</f>
        <v>265.30115826265654</v>
      </c>
      <c r="AO13" s="62">
        <f t="shared" si="36"/>
        <v>187.99130270616999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1.85</v>
      </c>
      <c r="BD13" s="13">
        <f>IF('Données projet'!$A$88&gt;35,BD12+BC13-BL12,IF(A13&lt;'Données projet'!$A$88,$BA$205^A13,IF(A13='Données projet'!$A$88,'Données projet'!$B$88,BD12+BC13-BL12)))</f>
        <v>6.0827625302982158</v>
      </c>
      <c r="BE13" s="14">
        <f>BD13*VLOOKUP('Données projet'!$B$11,Paramètres!$A$1:$I$89,3,0)*VLOOKUP('Données projet'!$B$11,Paramètres!$A$1:$I$89,5,0)</f>
        <v>6.5474855876129983</v>
      </c>
      <c r="BF13" s="14">
        <f t="shared" si="37"/>
        <v>2.4245745279300444</v>
      </c>
      <c r="BG13" s="22">
        <f t="shared" si="7"/>
        <v>15.626338034570798</v>
      </c>
      <c r="BH13" s="62">
        <f t="shared" si="8"/>
        <v>207.5650000196157</v>
      </c>
      <c r="BI13" s="62">
        <f ca="1">AVERAGE(OFFSET($BH$3,0,0,'Données projet'!$E$11+1,1))-AVERAGE(OFFSET($H$3,0,0,'Données projet'!$E$11+1,1))</f>
        <v>287.77879820226661</v>
      </c>
      <c r="BJ13" s="62">
        <f t="shared" si="38"/>
        <v>202.51334141855753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3.65</v>
      </c>
      <c r="N14" s="14">
        <f>IF('Données projet'!$A$36&gt;35,N13+M14-V13,IF(A14&lt;'Données projet'!$A$36,$K$205^A14,IF(A14='Données projet'!$A$36,'Données projet'!$B$36,N13+M14-V13)))</f>
        <v>10.588332555950936</v>
      </c>
      <c r="O14" s="14">
        <f>N14*VLOOKUP('Données projet'!$B$9,Paramètres!$A$1:$I$89,3,0)*VLOOKUP('Données projet'!$B$9,Paramètres!$A$1:$I$89,5,0)</f>
        <v>9.5803232966244067</v>
      </c>
      <c r="P14" s="14">
        <f t="shared" si="33"/>
        <v>3.3939041949894282</v>
      </c>
      <c r="Q14" s="22">
        <f t="shared" si="2"/>
        <v>22.596779547894098</v>
      </c>
      <c r="R14" s="62">
        <f t="shared" si="0"/>
        <v>217.09257815700823</v>
      </c>
      <c r="S14" s="62">
        <f ca="1">AVERAGE(OFFSET($R$3,0,0,'Données projet'!$E$9+1,1))-AVERAGE(OFFSET($H$3,0,0,'Données projet'!$E$9+1,1))</f>
        <v>435.66722289172486</v>
      </c>
      <c r="T14" s="62">
        <f t="shared" si="34"/>
        <v>297.32483725004136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1.85</v>
      </c>
      <c r="AI14" s="14">
        <f>IF('Données projet'!$A$62&gt;35,AI13+AH14-AQ13,IF(A14&lt;'Données projet'!$A$62,$AF$205^A14,IF(A14='Données projet'!$A$62,'Données projet'!$B$62,AI13+AH14-AQ13)))</f>
        <v>7.2863654266025</v>
      </c>
      <c r="AJ14" s="14">
        <f>AI14*VLOOKUP('Données projet'!$B$10,Paramètres!$A$1:$I$89,3,0)*VLOOKUP('Données projet'!$B$10,Paramètres!$A$1:$I$89,5,0)</f>
        <v>7.0473726406099386</v>
      </c>
      <c r="AK14" s="14">
        <f t="shared" si="35"/>
        <v>2.5874319148406233</v>
      </c>
      <c r="AL14" s="22">
        <f t="shared" si="4"/>
        <v>16.780617934076393</v>
      </c>
      <c r="AM14" s="62">
        <f t="shared" si="5"/>
        <v>211.27641654319052</v>
      </c>
      <c r="AN14" s="62">
        <f ca="1">AVERAGE(OFFSET($AM$3,0,0,'Données projet'!$E$10+1,1))-AVERAGE(OFFSET($H$3,0,0,'Données projet'!$E$10+1,1))</f>
        <v>265.30115826265654</v>
      </c>
      <c r="AO14" s="62">
        <f t="shared" si="36"/>
        <v>187.99130270616999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1.85</v>
      </c>
      <c r="BD14" s="13">
        <f>IF('Données projet'!$A$88&gt;35,BD13+BC14-BL13,IF(A14&lt;'Données projet'!$A$88,$BA$205^A14,IF(A14='Données projet'!$A$88,'Données projet'!$B$88,BD13+BC14-BL13)))</f>
        <v>7.2863654266025</v>
      </c>
      <c r="BE14" s="14">
        <f>BD14*VLOOKUP('Données projet'!$B$11,Paramètres!$A$1:$I$89,3,0)*VLOOKUP('Données projet'!$B$11,Paramètres!$A$1:$I$89,5,0)</f>
        <v>7.8430437451949313</v>
      </c>
      <c r="BF14" s="14">
        <f t="shared" si="37"/>
        <v>2.8439286109090247</v>
      </c>
      <c r="BG14" s="22">
        <f t="shared" si="7"/>
        <v>18.61314352021439</v>
      </c>
      <c r="BH14" s="62">
        <f t="shared" si="8"/>
        <v>213.10894212932851</v>
      </c>
      <c r="BI14" s="62">
        <f ca="1">AVERAGE(OFFSET($BH$3,0,0,'Données projet'!$E$11+1,1))-AVERAGE(OFFSET($H$3,0,0,'Données projet'!$E$11+1,1))</f>
        <v>287.77879820226661</v>
      </c>
      <c r="BJ14" s="62">
        <f t="shared" si="38"/>
        <v>202.51334141855753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3.65</v>
      </c>
      <c r="N15" s="14">
        <f>IF('Données projet'!$A$36&gt;35,N14+M15-V14,IF(A15&lt;'Données projet'!$A$36,$K$205^A15,IF(A15='Données projet'!$A$36,'Données projet'!$B$36,N14+M15-V14)))</f>
        <v>13.121809125710287</v>
      </c>
      <c r="O15" s="14">
        <f>N15*VLOOKUP('Données projet'!$B$9,Paramètres!$A$1:$I$89,3,0)*VLOOKUP('Données projet'!$B$9,Paramètres!$A$1:$I$89,5,0)</f>
        <v>11.872612896942668</v>
      </c>
      <c r="P15" s="14">
        <f t="shared" si="33"/>
        <v>4.1022411108131784</v>
      </c>
      <c r="Q15" s="22">
        <f t="shared" si="2"/>
        <v>27.822870730174767</v>
      </c>
      <c r="R15" s="62">
        <f t="shared" si="0"/>
        <v>224.85264818290764</v>
      </c>
      <c r="S15" s="62">
        <f ca="1">AVERAGE(OFFSET($R$3,0,0,'Données projet'!$E$9+1,1))-AVERAGE(OFFSET($H$3,0,0,'Données projet'!$E$9+1,1))</f>
        <v>435.66722289172486</v>
      </c>
      <c r="T15" s="62">
        <f t="shared" si="34"/>
        <v>297.32483725004136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1.85</v>
      </c>
      <c r="AI15" s="14">
        <f>IF('Données projet'!$A$62&gt;35,AI14+AH15-AQ14,IF(A15&lt;'Données projet'!$A$62,$AF$205^A15,IF(A15='Données projet'!$A$62,'Données projet'!$B$62,AI14+AH15-AQ14)))</f>
        <v>8.7281265486761264</v>
      </c>
      <c r="AJ15" s="14">
        <f>AI15*VLOOKUP('Données projet'!$B$10,Paramètres!$A$1:$I$89,3,0)*VLOOKUP('Données projet'!$B$10,Paramètres!$A$1:$I$89,5,0)</f>
        <v>8.4418439978795501</v>
      </c>
      <c r="AK15" s="14">
        <f t="shared" si="35"/>
        <v>3.0349537894702667</v>
      </c>
      <c r="AL15" s="22">
        <f t="shared" si="4"/>
        <v>19.988756146300929</v>
      </c>
      <c r="AM15" s="62">
        <f t="shared" si="5"/>
        <v>217.01853359903379</v>
      </c>
      <c r="AN15" s="62">
        <f ca="1">AVERAGE(OFFSET($AM$3,0,0,'Données projet'!$E$10+1,1))-AVERAGE(OFFSET($H$3,0,0,'Données projet'!$E$10+1,1))</f>
        <v>265.30115826265654</v>
      </c>
      <c r="AO15" s="62">
        <f t="shared" si="36"/>
        <v>187.99130270616999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1.85</v>
      </c>
      <c r="BD15" s="13">
        <f>IF('Données projet'!$A$88&gt;35,BD14+BC15-BL14,IF(A15&lt;'Données projet'!$A$88,$BA$205^A15,IF(A15='Données projet'!$A$88,'Données projet'!$B$88,BD14+BC15-BL14)))</f>
        <v>8.7281265486761264</v>
      </c>
      <c r="BE15" s="14">
        <f>BD15*VLOOKUP('Données projet'!$B$11,Paramètres!$A$1:$I$89,3,0)*VLOOKUP('Données projet'!$B$11,Paramètres!$A$1:$I$89,5,0)</f>
        <v>9.394955416994982</v>
      </c>
      <c r="BF15" s="14">
        <f t="shared" si="37"/>
        <v>3.3358141194578659</v>
      </c>
      <c r="BG15" s="22">
        <f t="shared" si="7"/>
        <v>22.172756942655372</v>
      </c>
      <c r="BH15" s="62">
        <f t="shared" si="8"/>
        <v>219.20253439538826</v>
      </c>
      <c r="BI15" s="62">
        <f ca="1">AVERAGE(OFFSET($BH$3,0,0,'Données projet'!$E$11+1,1))-AVERAGE(OFFSET($H$3,0,0,'Données projet'!$E$11+1,1))</f>
        <v>287.77879820226661</v>
      </c>
      <c r="BJ15" s="62">
        <f t="shared" si="38"/>
        <v>202.51334141855753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3.65</v>
      </c>
      <c r="N16" s="14">
        <f>IF('Données projet'!$A$36&gt;35,N15+M16-V15,IF(A16&lt;'Données projet'!$A$36,$K$205^A16,IF(A16='Données projet'!$A$36,'Données projet'!$B$36,N15+M16-V15)))</f>
        <v>16.261472127148366</v>
      </c>
      <c r="O16" s="14">
        <f>N16*VLOOKUP('Données projet'!$B$9,Paramètres!$A$1:$I$89,3,0)*VLOOKUP('Données projet'!$B$9,Paramètres!$A$1:$I$89,5,0)</f>
        <v>14.713379980643843</v>
      </c>
      <c r="P16" s="14">
        <f t="shared" si="33"/>
        <v>4.9584140165447881</v>
      </c>
      <c r="Q16" s="22">
        <f t="shared" si="2"/>
        <v>34.261707878436859</v>
      </c>
      <c r="R16" s="62">
        <f t="shared" si="0"/>
        <v>233.80270813005566</v>
      </c>
      <c r="S16" s="62">
        <f ca="1">AVERAGE(OFFSET($R$3,0,0,'Données projet'!$E$9+1,1))-AVERAGE(OFFSET($H$3,0,0,'Données projet'!$E$9+1,1))</f>
        <v>435.66722289172486</v>
      </c>
      <c r="T16" s="62">
        <f t="shared" si="34"/>
        <v>297.32483725004136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1.85</v>
      </c>
      <c r="AI16" s="14">
        <f>IF('Données projet'!$A$62&gt;35,AI15+AH16-AQ15,IF(A16&lt;'Données projet'!$A$62,$AF$205^A16,IF(A16='Données projet'!$A$62,'Données projet'!$B$62,AI15+AH16-AQ15)))</f>
        <v>10.455170525976005</v>
      </c>
      <c r="AJ16" s="14">
        <f>AI16*VLOOKUP('Données projet'!$B$10,Paramètres!$A$1:$I$89,3,0)*VLOOKUP('Données projet'!$B$10,Paramètres!$A$1:$I$89,5,0)</f>
        <v>10.112240932723992</v>
      </c>
      <c r="AK16" s="14">
        <f t="shared" si="35"/>
        <v>3.5598789871103866</v>
      </c>
      <c r="AL16" s="22">
        <f t="shared" si="4"/>
        <v>23.812275527044875</v>
      </c>
      <c r="AM16" s="62">
        <f t="shared" si="5"/>
        <v>223.35327577866369</v>
      </c>
      <c r="AN16" s="62">
        <f ca="1">AVERAGE(OFFSET($AM$3,0,0,'Données projet'!$E$10+1,1))-AVERAGE(OFFSET($H$3,0,0,'Données projet'!$E$10+1,1))</f>
        <v>265.30115826265654</v>
      </c>
      <c r="AO16" s="62">
        <f t="shared" si="36"/>
        <v>187.99130270616999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1.85</v>
      </c>
      <c r="BD16" s="13">
        <f>IF('Données projet'!$A$88&gt;35,BD15+BC16-BL15,IF(A16&lt;'Données projet'!$A$88,$BA$205^A16,IF(A16='Données projet'!$A$88,'Données projet'!$B$88,BD15+BC16-BL15)))</f>
        <v>10.455170525976005</v>
      </c>
      <c r="BE16" s="14">
        <f>BD16*VLOOKUP('Données projet'!$B$11,Paramètres!$A$1:$I$89,3,0)*VLOOKUP('Données projet'!$B$11,Paramètres!$A$1:$I$89,5,0)</f>
        <v>11.25394555416057</v>
      </c>
      <c r="BF16" s="14">
        <f t="shared" si="37"/>
        <v>3.9127760791497672</v>
      </c>
      <c r="BG16" s="22">
        <f t="shared" si="7"/>
        <v>26.415373511348836</v>
      </c>
      <c r="BH16" s="62">
        <f t="shared" si="8"/>
        <v>225.95637376296764</v>
      </c>
      <c r="BI16" s="62">
        <f ca="1">AVERAGE(OFFSET($BH$3,0,0,'Données projet'!$E$11+1,1))-AVERAGE(OFFSET($H$3,0,0,'Données projet'!$E$11+1,1))</f>
        <v>287.77879820226661</v>
      </c>
      <c r="BJ16" s="62">
        <f t="shared" si="38"/>
        <v>202.51334141855753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3.65</v>
      </c>
      <c r="N17" s="14">
        <f>IF('Données projet'!$A$36&gt;35,N16+M17-V16,IF(A17&lt;'Données projet'!$A$36,$K$205^A17,IF(A17='Données projet'!$A$36,'Données projet'!$B$36,N16+M17-V16)))</f>
        <v>20.152364144963837</v>
      </c>
      <c r="O17" s="14">
        <f>N17*VLOOKUP('Données projet'!$B$9,Paramètres!$A$1:$I$89,3,0)*VLOOKUP('Données projet'!$B$9,Paramètres!$A$1:$I$89,5,0)</f>
        <v>18.233859078363277</v>
      </c>
      <c r="P17" s="14">
        <f t="shared" si="33"/>
        <v>5.9932775513027368</v>
      </c>
      <c r="Q17" s="22">
        <f t="shared" si="2"/>
        <v>42.195596296668306</v>
      </c>
      <c r="R17" s="62">
        <f t="shared" si="0"/>
        <v>244.22545806894149</v>
      </c>
      <c r="S17" s="62">
        <f ca="1">AVERAGE(OFFSET($R$3,0,0,'Données projet'!$E$9+1,1))-AVERAGE(OFFSET($H$3,0,0,'Données projet'!$E$9+1,1))</f>
        <v>435.66722289172486</v>
      </c>
      <c r="T17" s="62">
        <f t="shared" si="34"/>
        <v>297.32483725004136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1.85</v>
      </c>
      <c r="AI17" s="14">
        <f>IF('Données projet'!$A$62&gt;35,AI16+AH17-AQ16,IF(A17&lt;'Données projet'!$A$62,$AF$205^A17,IF(A17='Données projet'!$A$62,'Données projet'!$B$62,AI16+AH17-AQ16)))</f>
        <v>12.523946590098133</v>
      </c>
      <c r="AJ17" s="14">
        <f>AI17*VLOOKUP('Données projet'!$B$10,Paramètres!$A$1:$I$89,3,0)*VLOOKUP('Données projet'!$B$10,Paramètres!$A$1:$I$89,5,0)</f>
        <v>12.113161141942914</v>
      </c>
      <c r="AK17" s="14">
        <f t="shared" si="35"/>
        <v>4.1755951760576986</v>
      </c>
      <c r="AL17" s="22">
        <f t="shared" si="4"/>
        <v>28.36958392051773</v>
      </c>
      <c r="AM17" s="62">
        <f t="shared" si="5"/>
        <v>230.39944569279092</v>
      </c>
      <c r="AN17" s="62">
        <f ca="1">AVERAGE(OFFSET($AM$3,0,0,'Données projet'!$E$10+1,1))-AVERAGE(OFFSET($H$3,0,0,'Données projet'!$E$10+1,1))</f>
        <v>265.30115826265654</v>
      </c>
      <c r="AO17" s="62">
        <f t="shared" si="36"/>
        <v>187.99130270616999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1.85</v>
      </c>
      <c r="BD17" s="13">
        <f>IF('Données projet'!$A$88&gt;35,BD16+BC17-BL16,IF(A17&lt;'Données projet'!$A$88,$BA$205^A17,IF(A17='Données projet'!$A$88,'Données projet'!$B$88,BD16+BC17-BL16)))</f>
        <v>12.523946590098133</v>
      </c>
      <c r="BE17" s="14">
        <f>BD17*VLOOKUP('Données projet'!$B$11,Paramètres!$A$1:$I$89,3,0)*VLOOKUP('Données projet'!$B$11,Paramètres!$A$1:$I$89,5,0)</f>
        <v>13.480776109581628</v>
      </c>
      <c r="BF17" s="14">
        <f t="shared" si="37"/>
        <v>4.5895293014872065</v>
      </c>
      <c r="BG17" s="22">
        <f t="shared" si="7"/>
        <v>31.472448590944882</v>
      </c>
      <c r="BH17" s="62">
        <f t="shared" si="8"/>
        <v>233.50231036321807</v>
      </c>
      <c r="BI17" s="62">
        <f ca="1">AVERAGE(OFFSET($BH$3,0,0,'Données projet'!$E$11+1,1))-AVERAGE(OFFSET($H$3,0,0,'Données projet'!$E$11+1,1))</f>
        <v>287.77879820226661</v>
      </c>
      <c r="BJ17" s="62">
        <f t="shared" si="38"/>
        <v>202.51334141855753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3.65</v>
      </c>
      <c r="N18" s="14">
        <f>IF('Données projet'!$A$36&gt;35,N17+M18-V17,IF(A18&lt;'Données projet'!$A$36,$K$205^A18,IF(A18='Données projet'!$A$36,'Données projet'!$B$36,N17+M18-V17)))</f>
        <v>24.974232188561476</v>
      </c>
      <c r="O18" s="14">
        <f>N18*VLOOKUP('Données projet'!$B$9,Paramètres!$A$1:$I$89,3,0)*VLOOKUP('Données projet'!$B$9,Paramètres!$A$1:$I$89,5,0)</f>
        <v>22.596685284210423</v>
      </c>
      <c r="P18" s="14">
        <f t="shared" si="33"/>
        <v>7.2441259820371586</v>
      </c>
      <c r="Q18" s="22">
        <f t="shared" si="2"/>
        <v>51.972746288714539</v>
      </c>
      <c r="R18" s="62">
        <f t="shared" si="0"/>
        <v>256.46949622159559</v>
      </c>
      <c r="S18" s="62">
        <f ca="1">AVERAGE(OFFSET($R$3,0,0,'Données projet'!$E$9+1,1))-AVERAGE(OFFSET($H$3,0,0,'Données projet'!$E$9+1,1))</f>
        <v>435.66722289172486</v>
      </c>
      <c r="T18" s="62">
        <f t="shared" si="34"/>
        <v>297.32483725004136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1.85</v>
      </c>
      <c r="AI18" s="14">
        <f>IF('Données projet'!$A$62&gt;35,AI17+AH18-AQ17,IF(A18&lt;'Données projet'!$A$62,$AF$205^A18,IF(A18='Données projet'!$A$62,'Données projet'!$B$62,AI17+AH18-AQ17)))</f>
        <v>15.002073644034471</v>
      </c>
      <c r="AJ18" s="14">
        <f>AI18*VLOOKUP('Données projet'!$B$10,Paramètres!$A$1:$I$89,3,0)*VLOOKUP('Données projet'!$B$10,Paramètres!$A$1:$I$89,5,0)</f>
        <v>14.510005628510141</v>
      </c>
      <c r="AK18" s="14">
        <f t="shared" si="35"/>
        <v>4.8978055539098797</v>
      </c>
      <c r="AL18" s="22">
        <f t="shared" si="4"/>
        <v>33.801937809381535</v>
      </c>
      <c r="AM18" s="62">
        <f t="shared" si="5"/>
        <v>238.29868774226259</v>
      </c>
      <c r="AN18" s="62">
        <f ca="1">AVERAGE(OFFSET($AM$3,0,0,'Données projet'!$E$10+1,1))-AVERAGE(OFFSET($H$3,0,0,'Données projet'!$E$10+1,1))</f>
        <v>265.30115826265654</v>
      </c>
      <c r="AO18" s="62">
        <f t="shared" si="36"/>
        <v>187.99130270616999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1.85</v>
      </c>
      <c r="BD18" s="13">
        <f>IF('Données projet'!$A$88&gt;35,BD17+BC18-BL17,IF(A18&lt;'Données projet'!$A$88,$BA$205^A18,IF(A18='Données projet'!$A$88,'Données projet'!$B$88,BD17+BC18-BL17)))</f>
        <v>15.002073644034471</v>
      </c>
      <c r="BE18" s="14">
        <f>BD18*VLOOKUP('Données projet'!$B$11,Paramètres!$A$1:$I$89,3,0)*VLOOKUP('Données projet'!$B$11,Paramètres!$A$1:$I$89,5,0)</f>
        <v>16.148232070438702</v>
      </c>
      <c r="BF18" s="14">
        <f t="shared" si="37"/>
        <v>5.3833336697833083</v>
      </c>
      <c r="BG18" s="22">
        <f t="shared" si="7"/>
        <v>37.500810330886665</v>
      </c>
      <c r="BH18" s="62">
        <f t="shared" si="8"/>
        <v>241.9975602637677</v>
      </c>
      <c r="BI18" s="62">
        <f ca="1">AVERAGE(OFFSET($BH$3,0,0,'Données projet'!$E$11+1,1))-AVERAGE(OFFSET($H$3,0,0,'Données projet'!$E$11+1,1))</f>
        <v>287.77879820226661</v>
      </c>
      <c r="BJ18" s="62">
        <f t="shared" si="38"/>
        <v>202.51334141855753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3.65</v>
      </c>
      <c r="N19" s="14">
        <f>IF('Données projet'!$A$36&gt;35,N18+M19-V18,IF(A19&lt;'Données projet'!$A$36,$K$205^A19,IF(A19='Données projet'!$A$36,'Données projet'!$B$36,N18+M19-V18)))</f>
        <v>30.949831440200953</v>
      </c>
      <c r="O19" s="14">
        <f>N19*VLOOKUP('Données projet'!$B$9,Paramètres!$A$1:$I$89,3,0)*VLOOKUP('Données projet'!$B$9,Paramètres!$A$1:$I$89,5,0)</f>
        <v>28.003407487093821</v>
      </c>
      <c r="P19" s="14">
        <f t="shared" si="33"/>
        <v>8.7560372090925433</v>
      </c>
      <c r="Q19" s="22">
        <f t="shared" si="2"/>
        <v>64.022699512524582</v>
      </c>
      <c r="R19" s="62">
        <f t="shared" si="0"/>
        <v>270.96474543463864</v>
      </c>
      <c r="S19" s="62">
        <f ca="1">AVERAGE(OFFSET($R$3,0,0,'Données projet'!$E$9+1,1))-AVERAGE(OFFSET($H$3,0,0,'Données projet'!$E$9+1,1))</f>
        <v>435.66722289172486</v>
      </c>
      <c r="T19" s="62">
        <f t="shared" si="34"/>
        <v>297.32483725004136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1.85</v>
      </c>
      <c r="AI19" s="14">
        <f>IF('Données projet'!$A$62&gt;35,AI18+AH19-AQ18,IF(A19&lt;'Données projet'!$A$62,$AF$205^A19,IF(A19='Données projet'!$A$62,'Données projet'!$B$62,AI18+AH19-AQ18)))</f>
        <v>17.97055041730821</v>
      </c>
      <c r="AJ19" s="14">
        <f>AI19*VLOOKUP('Données projet'!$B$10,Paramètres!$A$1:$I$89,3,0)*VLOOKUP('Données projet'!$B$10,Paramètres!$A$1:$I$89,5,0)</f>
        <v>17.381116363620499</v>
      </c>
      <c r="AK19" s="14">
        <f t="shared" si="35"/>
        <v>5.7449293412008116</v>
      </c>
      <c r="AL19" s="22">
        <f t="shared" si="4"/>
        <v>40.277862935897112</v>
      </c>
      <c r="AM19" s="62">
        <f t="shared" si="5"/>
        <v>247.21990885801117</v>
      </c>
      <c r="AN19" s="62">
        <f ca="1">AVERAGE(OFFSET($AM$3,0,0,'Données projet'!$E$10+1,1))-AVERAGE(OFFSET($H$3,0,0,'Données projet'!$E$10+1,1))</f>
        <v>265.30115826265654</v>
      </c>
      <c r="AO19" s="62">
        <f t="shared" si="36"/>
        <v>187.99130270616999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1.85</v>
      </c>
      <c r="BD19" s="13">
        <f>IF('Données projet'!$A$88&gt;35,BD18+BC19-BL18,IF(A19&lt;'Données projet'!$A$88,$BA$205^A19,IF(A19='Données projet'!$A$88,'Données projet'!$B$88,BD18+BC19-BL18)))</f>
        <v>17.97055041730821</v>
      </c>
      <c r="BE19" s="14">
        <f>BD19*VLOOKUP('Données projet'!$B$11,Paramètres!$A$1:$I$89,3,0)*VLOOKUP('Données projet'!$B$11,Paramètres!$A$1:$I$89,5,0)</f>
        <v>19.343500469190559</v>
      </c>
      <c r="BF19" s="14">
        <f t="shared" si="37"/>
        <v>6.3144343344385545</v>
      </c>
      <c r="BG19" s="22">
        <f t="shared" si="7"/>
        <v>44.687569782987374</v>
      </c>
      <c r="BH19" s="62">
        <f t="shared" si="8"/>
        <v>251.62961570510143</v>
      </c>
      <c r="BI19" s="62">
        <f ca="1">AVERAGE(OFFSET($BH$3,0,0,'Données projet'!$E$11+1,1))-AVERAGE(OFFSET($H$3,0,0,'Données projet'!$E$11+1,1))</f>
        <v>287.77879820226661</v>
      </c>
      <c r="BJ19" s="62">
        <f t="shared" si="38"/>
        <v>202.51334141855753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3.65</v>
      </c>
      <c r="N20" s="14">
        <f>IF('Données projet'!$A$36&gt;35,N19+M20-V19,IF(A20&lt;'Données projet'!$A$36,$K$205^A20,IF(A20='Données projet'!$A$36,'Données projet'!$B$36,N19+M20-V19)))</f>
        <v>38.355215845858055</v>
      </c>
      <c r="O20" s="14">
        <f>N20*VLOOKUP('Données projet'!$B$9,Paramètres!$A$1:$I$89,3,0)*VLOOKUP('Données projet'!$B$9,Paramètres!$A$1:$I$89,5,0)</f>
        <v>34.703799297332367</v>
      </c>
      <c r="P20" s="14">
        <f t="shared" si="33"/>
        <v>10.583497277259243</v>
      </c>
      <c r="Q20" s="22">
        <f t="shared" si="2"/>
        <v>78.875374867413711</v>
      </c>
      <c r="R20" s="62">
        <f t="shared" si="0"/>
        <v>288.24149918328646</v>
      </c>
      <c r="S20" s="62">
        <f ca="1">AVERAGE(OFFSET($R$3,0,0,'Données projet'!$E$9+1,1))-AVERAGE(OFFSET($H$3,0,0,'Données projet'!$E$9+1,1))</f>
        <v>435.66722289172486</v>
      </c>
      <c r="T20" s="62">
        <f t="shared" si="34"/>
        <v>297.32483725004136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1.85</v>
      </c>
      <c r="AI20" s="14">
        <f>IF('Données projet'!$A$62&gt;35,AI19+AH20-AQ19,IF(A20&lt;'Données projet'!$A$62,$AF$205^A20,IF(A20='Données projet'!$A$62,'Données projet'!$B$62,AI19+AH20-AQ19)))</f>
        <v>21.526402946930784</v>
      </c>
      <c r="AJ20" s="14">
        <f>AI20*VLOOKUP('Données projet'!$B$10,Paramètres!$A$1:$I$89,3,0)*VLOOKUP('Données projet'!$B$10,Paramètres!$A$1:$I$89,5,0)</f>
        <v>20.820336930271452</v>
      </c>
      <c r="AK20" s="14">
        <f t="shared" si="35"/>
        <v>6.7385715443609246</v>
      </c>
      <c r="AL20" s="22">
        <f t="shared" si="4"/>
        <v>47.998432259984718</v>
      </c>
      <c r="AM20" s="62">
        <f t="shared" si="5"/>
        <v>257.36455657585742</v>
      </c>
      <c r="AN20" s="62">
        <f ca="1">AVERAGE(OFFSET($AM$3,0,0,'Données projet'!$E$10+1,1))-AVERAGE(OFFSET($H$3,0,0,'Données projet'!$E$10+1,1))</f>
        <v>265.30115826265654</v>
      </c>
      <c r="AO20" s="62">
        <f t="shared" si="36"/>
        <v>187.99130270616999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1.85</v>
      </c>
      <c r="BD20" s="13">
        <f>IF('Données projet'!$A$88&gt;35,BD19+BC20-BL19,IF(A20&lt;'Données projet'!$A$88,$BA$205^A20,IF(A20='Données projet'!$A$88,'Données projet'!$B$88,BD19+BC20-BL19)))</f>
        <v>21.526402946930784</v>
      </c>
      <c r="BE20" s="14">
        <f>BD20*VLOOKUP('Données projet'!$B$11,Paramètres!$A$1:$I$89,3,0)*VLOOKUP('Données projet'!$B$11,Paramètres!$A$1:$I$89,5,0)</f>
        <v>23.171020132076293</v>
      </c>
      <c r="BF20" s="14">
        <f t="shared" si="37"/>
        <v>7.406578044333151</v>
      </c>
      <c r="BG20" s="22">
        <f t="shared" si="7"/>
        <v>53.25598349057978</v>
      </c>
      <c r="BH20" s="62">
        <f t="shared" si="8"/>
        <v>262.6221078064525</v>
      </c>
      <c r="BI20" s="62">
        <f ca="1">AVERAGE(OFFSET($BH$3,0,0,'Données projet'!$E$11+1,1))-AVERAGE(OFFSET($H$3,0,0,'Données projet'!$E$11+1,1))</f>
        <v>287.77879820226661</v>
      </c>
      <c r="BJ20" s="62">
        <f t="shared" si="38"/>
        <v>202.51334141855753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3.65</v>
      </c>
      <c r="N21" s="14">
        <f>IF('Données projet'!$A$36&gt;35,N20+M21-V20,IF(A21&lt;'Données projet'!$A$36,$K$205^A21,IF(A21='Données projet'!$A$36,'Données projet'!$B$36,N20+M21-V20)))</f>
        <v>47.532490941824946</v>
      </c>
      <c r="O21" s="14">
        <f>N21*VLOOKUP('Données projet'!$B$9,Paramètres!$A$1:$I$89,3,0)*VLOOKUP('Données projet'!$B$9,Paramètres!$A$1:$I$89,5,0)</f>
        <v>43.007397804163212</v>
      </c>
      <c r="P21" s="14">
        <f t="shared" si="33"/>
        <v>12.792363936215189</v>
      </c>
      <c r="Q21" s="22">
        <f t="shared" si="2"/>
        <v>97.184585031159045</v>
      </c>
      <c r="R21" s="62">
        <f t="shared" si="0"/>
        <v>308.95393822316214</v>
      </c>
      <c r="S21" s="62">
        <f ca="1">AVERAGE(OFFSET($R$3,0,0,'Données projet'!$E$9+1,1))-AVERAGE(OFFSET($H$3,0,0,'Données projet'!$E$9+1,1))</f>
        <v>435.66722289172486</v>
      </c>
      <c r="T21" s="62">
        <f t="shared" si="34"/>
        <v>297.32483725004136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1.85</v>
      </c>
      <c r="AI21" s="14">
        <f>IF('Données projet'!$A$62&gt;35,AI20+AH21-AQ20,IF(A21&lt;'Données projet'!$A$62,$AF$205^A21,IF(A21='Données projet'!$A$62,'Données projet'!$B$62,AI20+AH21-AQ20)))</f>
        <v>25.785855918320859</v>
      </c>
      <c r="AJ21" s="14">
        <f>AI21*VLOOKUP('Données projet'!$B$10,Paramètres!$A$1:$I$89,3,0)*VLOOKUP('Données projet'!$B$10,Paramètres!$A$1:$I$89,5,0)</f>
        <v>24.940079844199936</v>
      </c>
      <c r="AK21" s="14">
        <f t="shared" si="35"/>
        <v>7.9040739688156822</v>
      </c>
      <c r="AL21" s="22">
        <f t="shared" si="4"/>
        <v>57.203567891002194</v>
      </c>
      <c r="AM21" s="62">
        <f t="shared" si="5"/>
        <v>268.9729210830053</v>
      </c>
      <c r="AN21" s="62">
        <f ca="1">AVERAGE(OFFSET($AM$3,0,0,'Données projet'!$E$10+1,1))-AVERAGE(OFFSET($H$3,0,0,'Données projet'!$E$10+1,1))</f>
        <v>265.30115826265654</v>
      </c>
      <c r="AO21" s="62">
        <f t="shared" si="36"/>
        <v>187.99130270616999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1.85</v>
      </c>
      <c r="BD21" s="13">
        <f>IF('Données projet'!$A$88&gt;35,BD20+BC21-BL20,IF(A21&lt;'Données projet'!$A$88,$BA$205^A21,IF(A21='Données projet'!$A$88,'Données projet'!$B$88,BD20+BC21-BL20)))</f>
        <v>25.785855918320859</v>
      </c>
      <c r="BE21" s="14">
        <f>BD21*VLOOKUP('Données projet'!$B$11,Paramètres!$A$1:$I$89,3,0)*VLOOKUP('Données projet'!$B$11,Paramètres!$A$1:$I$89,5,0)</f>
        <v>27.755895310480572</v>
      </c>
      <c r="BF21" s="14">
        <f t="shared" si="37"/>
        <v>8.6876187828272808</v>
      </c>
      <c r="BG21" s="22">
        <f t="shared" si="7"/>
        <v>63.472453712511168</v>
      </c>
      <c r="BH21" s="62">
        <f t="shared" si="8"/>
        <v>275.24180690451431</v>
      </c>
      <c r="BI21" s="62">
        <f ca="1">AVERAGE(OFFSET($BH$3,0,0,'Données projet'!$E$11+1,1))-AVERAGE(OFFSET($H$3,0,0,'Données projet'!$E$11+1,1))</f>
        <v>287.77879820226661</v>
      </c>
      <c r="BJ21" s="62">
        <f t="shared" si="38"/>
        <v>202.51334141855753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3.65</v>
      </c>
      <c r="N22" s="14">
        <f>IF('Données projet'!$A$36&gt;35,N21+M22-V21,IF(A22&lt;'Données projet'!$A$36,$K$205^A22,IF(A22='Données projet'!$A$36,'Données projet'!$B$36,N21+M22-V21)))</f>
        <v>58.90561805764559</v>
      </c>
      <c r="O22" s="14">
        <f>N22*VLOOKUP('Données projet'!$B$9,Paramètres!$A$1:$I$89,3,0)*VLOOKUP('Données projet'!$B$9,Paramètres!$A$1:$I$89,5,0)</f>
        <v>53.297803218557732</v>
      </c>
      <c r="P22" s="14">
        <f t="shared" si="33"/>
        <v>15.462240012873817</v>
      </c>
      <c r="Q22" s="22">
        <f t="shared" si="2"/>
        <v>119.75707529474329</v>
      </c>
      <c r="R22" s="62">
        <f t="shared" si="0"/>
        <v>333.90916953776684</v>
      </c>
      <c r="S22" s="62">
        <f ca="1">AVERAGE(OFFSET($R$3,0,0,'Données projet'!$E$9+1,1))-AVERAGE(OFFSET($H$3,0,0,'Données projet'!$E$9+1,1))</f>
        <v>435.66722289172486</v>
      </c>
      <c r="T22" s="62">
        <f t="shared" si="34"/>
        <v>297.32483725004136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1.85</v>
      </c>
      <c r="AI22" s="14">
        <f>IF('Données projet'!$A$62&gt;35,AI21+AH22-AQ21,IF(A22&lt;'Données projet'!$A$62,$AF$205^A22,IF(A22='Données projet'!$A$62,'Données projet'!$B$62,AI21+AH22-AQ21)))</f>
        <v>30.888131522930788</v>
      </c>
      <c r="AJ22" s="14">
        <f>AI22*VLOOKUP('Données projet'!$B$10,Paramètres!$A$1:$I$89,3,0)*VLOOKUP('Données projet'!$B$10,Paramètres!$A$1:$I$89,5,0)</f>
        <v>29.875000808978658</v>
      </c>
      <c r="AK22" s="14">
        <f t="shared" si="35"/>
        <v>9.2711615352352368</v>
      </c>
      <c r="AL22" s="22">
        <f t="shared" si="4"/>
        <v>68.179566082839202</v>
      </c>
      <c r="AM22" s="62">
        <f t="shared" si="5"/>
        <v>282.33166032586274</v>
      </c>
      <c r="AN22" s="62">
        <f ca="1">AVERAGE(OFFSET($AM$3,0,0,'Données projet'!$E$10+1,1))-AVERAGE(OFFSET($H$3,0,0,'Données projet'!$E$10+1,1))</f>
        <v>265.30115826265654</v>
      </c>
      <c r="AO22" s="62">
        <f t="shared" si="36"/>
        <v>187.99130270616999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1.85</v>
      </c>
      <c r="BD22" s="13">
        <f>IF('Données projet'!$A$88&gt;35,BD21+BC22-BL21,IF(A22&lt;'Données projet'!$A$88,$BA$205^A22,IF(A22='Données projet'!$A$88,'Données projet'!$B$88,BD21+BC22-BL21)))</f>
        <v>30.888131522930788</v>
      </c>
      <c r="BE22" s="14">
        <f>BD22*VLOOKUP('Données projet'!$B$11,Paramètres!$A$1:$I$89,3,0)*VLOOKUP('Données projet'!$B$11,Paramètres!$A$1:$I$89,5,0)</f>
        <v>33.247984771282695</v>
      </c>
      <c r="BF22" s="14">
        <f t="shared" si="37"/>
        <v>10.190228154482202</v>
      </c>
      <c r="BG22" s="22">
        <f t="shared" si="7"/>
        <v>75.654887512373861</v>
      </c>
      <c r="BH22" s="62">
        <f t="shared" si="8"/>
        <v>289.80698175539737</v>
      </c>
      <c r="BI22" s="62">
        <f ca="1">AVERAGE(OFFSET($BH$3,0,0,'Données projet'!$E$11+1,1))-AVERAGE(OFFSET($H$3,0,0,'Données projet'!$E$11+1,1))</f>
        <v>287.77879820226661</v>
      </c>
      <c r="BJ22" s="62">
        <f t="shared" si="38"/>
        <v>202.51334141855753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73</v>
      </c>
      <c r="L23" s="13">
        <f>VLOOKUP(A23,'Données projet'!$A$35:$I$55,9,0)</f>
        <v>3.65</v>
      </c>
      <c r="M23" s="13">
        <f t="array" ref="M23">INDEX(L:L,MIN(IF(ISNUMBER(L23:L219),ROW(L23:L219),"")))</f>
        <v>3.65</v>
      </c>
      <c r="N23" s="14">
        <f>IF('Données projet'!$A$36&gt;35,N22+M23-V22,IF(A23&lt;'Données projet'!$A$36,$K$205^A23,IF(A23='Données projet'!$A$36,'Données projet'!$B$36,N22+M23-V22)))</f>
        <v>73</v>
      </c>
      <c r="O23" s="14">
        <f>N23*VLOOKUP('Données projet'!$B$9,Paramètres!$A$1:$I$89,3,0)*VLOOKUP('Données projet'!$B$9,Paramètres!$A$1:$I$89,5,0)</f>
        <v>66.050399999999996</v>
      </c>
      <c r="P23" s="14">
        <f t="shared" si="33"/>
        <v>18.689342126897891</v>
      </c>
      <c r="Q23" s="22">
        <f t="shared" si="2"/>
        <v>147.58838420434714</v>
      </c>
      <c r="R23" s="62">
        <f t="shared" si="0"/>
        <v>364.10308709124286</v>
      </c>
      <c r="S23" s="62">
        <f ca="1">AVERAGE(OFFSET($R$3,0,0,'Données projet'!$E$9+1,1))-AVERAGE(OFFSET($H$3,0,0,'Données projet'!$E$9+1,1))</f>
        <v>435.66722289172486</v>
      </c>
      <c r="T23" s="62">
        <f t="shared" si="34"/>
        <v>297.32483725004136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6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37</v>
      </c>
      <c r="AG23" s="13">
        <f>VLOOKUP(A23,'Données projet'!$A$61:$I$81,9,0)</f>
        <v>1.85</v>
      </c>
      <c r="AH23" s="13">
        <f t="array" ref="AH23">INDEX(AG:AG,MIN(IF(ISNUMBER(AG23:AG219),ROW(AG23:AG219),"")))</f>
        <v>1.85</v>
      </c>
      <c r="AI23" s="14">
        <f>IF('Données projet'!$A$62&gt;35,AI22+AH23-AQ22,IF(A23&lt;'Données projet'!$A$62,$AF$205^A23,IF(A23='Données projet'!$A$62,'Données projet'!$B$62,AI22+AH23-AQ22)))</f>
        <v>37</v>
      </c>
      <c r="AJ23" s="14">
        <f>AI23*VLOOKUP('Données projet'!$B$10,Paramètres!$A$1:$I$89,3,0)*VLOOKUP('Données projet'!$B$10,Paramètres!$A$1:$I$89,5,0)</f>
        <v>35.7864</v>
      </c>
      <c r="AK23" s="14">
        <f t="shared" si="35"/>
        <v>10.874700382555321</v>
      </c>
      <c r="AL23" s="22">
        <f t="shared" si="4"/>
        <v>81.26808316628383</v>
      </c>
      <c r="AM23" s="62">
        <f t="shared" si="5"/>
        <v>297.78278605317956</v>
      </c>
      <c r="AN23" s="62">
        <f ca="1">AVERAGE(OFFSET($AM$3,0,0,'Données projet'!$E$10+1,1))-AVERAGE(OFFSET($H$3,0,0,'Données projet'!$E$10+1,1))</f>
        <v>265.30115826265654</v>
      </c>
      <c r="AO23" s="62">
        <f t="shared" si="36"/>
        <v>187.99130270616999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3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37</v>
      </c>
      <c r="BB23" s="13">
        <f>VLOOKUP(A23,'Données projet'!$A$87:$I$107,9,0)</f>
        <v>1.85</v>
      </c>
      <c r="BC23" s="13">
        <f t="array" ref="BC23">INDEX(BB:BB,MIN(IF(ISNUMBER(BB23:BB219),ROW(BB23:BB219),"")))</f>
        <v>1.85</v>
      </c>
      <c r="BD23" s="13">
        <f>IF('Données projet'!$A$88&gt;35,BD22+BC23-BL22,IF(A23&lt;'Données projet'!$A$88,$BA$205^A23,IF(A23='Données projet'!$A$88,'Données projet'!$B$88,BD22+BC23-BL22)))</f>
        <v>37</v>
      </c>
      <c r="BE23" s="14">
        <f>BD23*VLOOKUP('Données projet'!$B$11,Paramètres!$A$1:$I$89,3,0)*VLOOKUP('Données projet'!$B$11,Paramètres!$A$1:$I$89,5,0)</f>
        <v>39.826799999999999</v>
      </c>
      <c r="BF23" s="14">
        <f t="shared" si="37"/>
        <v>11.95272864017269</v>
      </c>
      <c r="BG23" s="22">
        <f t="shared" si="7"/>
        <v>90.182679048300756</v>
      </c>
      <c r="BH23" s="62">
        <f t="shared" si="8"/>
        <v>306.69738193519646</v>
      </c>
      <c r="BI23" s="62">
        <f ca="1">AVERAGE(OFFSET($BH$3,0,0,'Données projet'!$E$11+1,1))-AVERAGE(OFFSET($H$3,0,0,'Données projet'!$E$11+1,1))</f>
        <v>287.77879820226661</v>
      </c>
      <c r="BJ23" s="62">
        <f t="shared" si="38"/>
        <v>202.51334141855753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3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7.2</v>
      </c>
      <c r="N24" s="14">
        <f>IF('Données projet'!$A$36&gt;35,N23+M24-V23,IF(A24&lt;'Données projet'!$A$36,$K$205^A24,IF(A24='Données projet'!$A$36,'Données projet'!$B$36,N23+M24-V23)))</f>
        <v>74.2</v>
      </c>
      <c r="O24" s="14">
        <f>N24*VLOOKUP('Données projet'!$B$9,Paramètres!$A$1:$I$89,3,0)*VLOOKUP('Données projet'!$B$9,Paramètres!$A$1:$I$89,5,0)</f>
        <v>67.136160000000004</v>
      </c>
      <c r="P24" s="14">
        <f t="shared" si="33"/>
        <v>18.960545405756019</v>
      </c>
      <c r="Q24" s="22">
        <f t="shared" si="2"/>
        <v>149.95176191502506</v>
      </c>
      <c r="R24" s="62">
        <f t="shared" si="0"/>
        <v>368.80929029089941</v>
      </c>
      <c r="S24" s="62">
        <f ca="1">AVERAGE(OFFSET($R$3,0,0,'Données projet'!$E$9+1,1))-AVERAGE(OFFSET($H$3,0,0,'Données projet'!$E$9+1,1))</f>
        <v>435.66722289172486</v>
      </c>
      <c r="T24" s="62">
        <f t="shared" si="34"/>
        <v>297.32483725004136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3.6</v>
      </c>
      <c r="AI24" s="14">
        <f>IF('Données projet'!$A$62&gt;35,AI23+AH24-AQ23,IF(A24&lt;'Données projet'!$A$62,$AF$205^A24,IF(A24='Données projet'!$A$62,'Données projet'!$B$62,AI23+AH24-AQ23)))</f>
        <v>37.6</v>
      </c>
      <c r="AJ24" s="14">
        <f>AI24*VLOOKUP('Données projet'!$B$10,Paramètres!$A$1:$I$89,3,0)*VLOOKUP('Données projet'!$B$10,Paramètres!$A$1:$I$89,5,0)</f>
        <v>36.366720000000001</v>
      </c>
      <c r="AK24" s="14">
        <f t="shared" si="35"/>
        <v>11.030373963242988</v>
      </c>
      <c r="AL24" s="22">
        <f t="shared" si="4"/>
        <v>82.549938652648208</v>
      </c>
      <c r="AM24" s="62">
        <f t="shared" si="5"/>
        <v>301.4074670285226</v>
      </c>
      <c r="AN24" s="62">
        <f ca="1">AVERAGE(OFFSET($AM$3,0,0,'Données projet'!$E$10+1,1))-AVERAGE(OFFSET($H$3,0,0,'Données projet'!$E$10+1,1))</f>
        <v>265.30115826265654</v>
      </c>
      <c r="AO24" s="62">
        <f t="shared" si="36"/>
        <v>187.99130270616999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3.6</v>
      </c>
      <c r="BD24" s="13">
        <f>IF('Données projet'!$A$88&gt;35,BD23+BC24-BL23,IF(A24&lt;'Données projet'!$A$88,$BA$205^A24,IF(A24='Données projet'!$A$88,'Données projet'!$B$88,BD23+BC24-BL23)))</f>
        <v>37.6</v>
      </c>
      <c r="BE24" s="14">
        <f>BD24*VLOOKUP('Données projet'!$B$11,Paramètres!$A$1:$I$89,3,0)*VLOOKUP('Données projet'!$B$11,Paramètres!$A$1:$I$89,5,0)</f>
        <v>40.472639999999998</v>
      </c>
      <c r="BF24" s="14">
        <f t="shared" si="37"/>
        <v>12.123834417890356</v>
      </c>
      <c r="BG24" s="22">
        <f t="shared" si="7"/>
        <v>91.605526277825689</v>
      </c>
      <c r="BH24" s="62">
        <f t="shared" si="8"/>
        <v>310.46305465370006</v>
      </c>
      <c r="BI24" s="62">
        <f ca="1">AVERAGE(OFFSET($BH$3,0,0,'Données projet'!$E$11+1,1))-AVERAGE(OFFSET($H$3,0,0,'Données projet'!$E$11+1,1))</f>
        <v>287.77879820226661</v>
      </c>
      <c r="BJ24" s="62">
        <f t="shared" si="38"/>
        <v>202.51334141855753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7.2</v>
      </c>
      <c r="N25" s="14">
        <f>IF('Données projet'!$A$36&gt;35,N24+M25-V24,IF(A25&lt;'Données projet'!$A$36,$K$205^A25,IF(A25='Données projet'!$A$36,'Données projet'!$B$36,N24+M25-V24)))</f>
        <v>81.400000000000006</v>
      </c>
      <c r="O25" s="14">
        <f>N25*VLOOKUP('Données projet'!$B$9,Paramètres!$A$1:$I$89,3,0)*VLOOKUP('Données projet'!$B$9,Paramètres!$A$1:$I$89,5,0)</f>
        <v>73.650720000000007</v>
      </c>
      <c r="P25" s="14">
        <f t="shared" si="33"/>
        <v>20.577360172493922</v>
      </c>
      <c r="Q25" s="22">
        <f t="shared" si="2"/>
        <v>164.11390630042692</v>
      </c>
      <c r="R25" s="62">
        <f t="shared" si="0"/>
        <v>385.29482020389531</v>
      </c>
      <c r="S25" s="62">
        <f ca="1">AVERAGE(OFFSET($R$3,0,0,'Données projet'!$E$9+1,1))-AVERAGE(OFFSET($H$3,0,0,'Données projet'!$E$9+1,1))</f>
        <v>435.66722289172486</v>
      </c>
      <c r="T25" s="62">
        <f t="shared" si="34"/>
        <v>297.32483725004136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3.6</v>
      </c>
      <c r="AI25" s="14">
        <f>IF('Données projet'!$A$62&gt;35,AI24+AH25-AQ24,IF(A25&lt;'Données projet'!$A$62,$AF$205^A25,IF(A25='Données projet'!$A$62,'Données projet'!$B$62,AI24+AH25-AQ24)))</f>
        <v>41.2</v>
      </c>
      <c r="AJ25" s="14">
        <f>AI25*VLOOKUP('Données projet'!$B$10,Paramètres!$A$1:$I$89,3,0)*VLOOKUP('Données projet'!$B$10,Paramètres!$A$1:$I$89,5,0)</f>
        <v>39.848640000000003</v>
      </c>
      <c r="AK25" s="14">
        <f t="shared" si="35"/>
        <v>11.958520074419543</v>
      </c>
      <c r="AL25" s="22">
        <f t="shared" si="4"/>
        <v>90.230803796280711</v>
      </c>
      <c r="AM25" s="62">
        <f t="shared" si="5"/>
        <v>311.41171769974909</v>
      </c>
      <c r="AN25" s="62">
        <f ca="1">AVERAGE(OFFSET($AM$3,0,0,'Données projet'!$E$10+1,1))-AVERAGE(OFFSET($H$3,0,0,'Données projet'!$E$10+1,1))</f>
        <v>265.30115826265654</v>
      </c>
      <c r="AO25" s="62">
        <f t="shared" si="36"/>
        <v>187.99130270616999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3.6</v>
      </c>
      <c r="BD25" s="13">
        <f>IF('Données projet'!$A$88&gt;35,BD24+BC25-BL24,IF(A25&lt;'Données projet'!$A$88,$BA$205^A25,IF(A25='Données projet'!$A$88,'Données projet'!$B$88,BD24+BC25-BL24)))</f>
        <v>41.2</v>
      </c>
      <c r="BE25" s="14">
        <f>BD25*VLOOKUP('Données projet'!$B$11,Paramètres!$A$1:$I$89,3,0)*VLOOKUP('Données projet'!$B$11,Paramètres!$A$1:$I$89,5,0)</f>
        <v>44.347680000000004</v>
      </c>
      <c r="BF25" s="14">
        <f t="shared" si="37"/>
        <v>13.143989292513034</v>
      </c>
      <c r="BG25" s="22">
        <f t="shared" si="7"/>
        <v>100.13132401779355</v>
      </c>
      <c r="BH25" s="62">
        <f t="shared" si="8"/>
        <v>321.31223792126195</v>
      </c>
      <c r="BI25" s="62">
        <f ca="1">AVERAGE(OFFSET($BH$3,0,0,'Données projet'!$E$11+1,1))-AVERAGE(OFFSET($H$3,0,0,'Données projet'!$E$11+1,1))</f>
        <v>287.77879820226661</v>
      </c>
      <c r="BJ25" s="62">
        <f t="shared" si="38"/>
        <v>202.51334141855753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7.2</v>
      </c>
      <c r="N26" s="14">
        <f>IF('Données projet'!$A$36&gt;35,N25+M26-V25,IF(A26&lt;'Données projet'!$A$36,$K$205^A26,IF(A26='Données projet'!$A$36,'Données projet'!$B$36,N25+M26-V25)))</f>
        <v>88.600000000000009</v>
      </c>
      <c r="O26" s="14">
        <f>N26*VLOOKUP('Données projet'!$B$9,Paramètres!$A$1:$I$89,3,0)*VLOOKUP('Données projet'!$B$9,Paramètres!$A$1:$I$89,5,0)</f>
        <v>80.165279999999996</v>
      </c>
      <c r="P26" s="14">
        <f t="shared" si="33"/>
        <v>22.177591092468788</v>
      </c>
      <c r="Q26" s="22">
        <f t="shared" si="2"/>
        <v>178.24716715271646</v>
      </c>
      <c r="R26" s="62">
        <f t="shared" si="0"/>
        <v>401.73236386226296</v>
      </c>
      <c r="S26" s="62">
        <f ca="1">AVERAGE(OFFSET($R$3,0,0,'Données projet'!$E$9+1,1))-AVERAGE(OFFSET($H$3,0,0,'Données projet'!$E$9+1,1))</f>
        <v>435.66722289172486</v>
      </c>
      <c r="T26" s="62">
        <f t="shared" si="34"/>
        <v>297.32483725004136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3.6</v>
      </c>
      <c r="AI26" s="14">
        <f>IF('Données projet'!$A$62&gt;35,AI25+AH26-AQ25,IF(A26&lt;'Données projet'!$A$62,$AF$205^A26,IF(A26='Données projet'!$A$62,'Données projet'!$B$62,AI25+AH26-AQ25)))</f>
        <v>44.800000000000004</v>
      </c>
      <c r="AJ26" s="14">
        <f>AI26*VLOOKUP('Données projet'!$B$10,Paramètres!$A$1:$I$89,3,0)*VLOOKUP('Données projet'!$B$10,Paramètres!$A$1:$I$89,5,0)</f>
        <v>43.330560000000006</v>
      </c>
      <c r="AK26" s="14">
        <f t="shared" si="35"/>
        <v>12.87726134978964</v>
      </c>
      <c r="AL26" s="22">
        <f t="shared" si="4"/>
        <v>97.895288850883631</v>
      </c>
      <c r="AM26" s="62">
        <f t="shared" si="5"/>
        <v>321.38048556043015</v>
      </c>
      <c r="AN26" s="62">
        <f ca="1">AVERAGE(OFFSET($AM$3,0,0,'Données projet'!$E$10+1,1))-AVERAGE(OFFSET($H$3,0,0,'Données projet'!$E$10+1,1))</f>
        <v>265.30115826265654</v>
      </c>
      <c r="AO26" s="62">
        <f t="shared" si="36"/>
        <v>187.99130270616999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3.6</v>
      </c>
      <c r="BD26" s="13">
        <f>IF('Données projet'!$A$88&gt;35,BD25+BC26-BL25,IF(A26&lt;'Données projet'!$A$88,$BA$205^A26,IF(A26='Données projet'!$A$88,'Données projet'!$B$88,BD25+BC26-BL25)))</f>
        <v>44.800000000000004</v>
      </c>
      <c r="BE26" s="14">
        <f>BD26*VLOOKUP('Données projet'!$B$11,Paramètres!$A$1:$I$89,3,0)*VLOOKUP('Données projet'!$B$11,Paramètres!$A$1:$I$89,5,0)</f>
        <v>48.222720000000002</v>
      </c>
      <c r="BF26" s="14">
        <f t="shared" si="37"/>
        <v>14.153807013343384</v>
      </c>
      <c r="BG26" s="22">
        <f t="shared" si="7"/>
        <v>108.63911788157306</v>
      </c>
      <c r="BH26" s="62">
        <f t="shared" si="8"/>
        <v>332.12431459111957</v>
      </c>
      <c r="BI26" s="62">
        <f ca="1">AVERAGE(OFFSET($BH$3,0,0,'Données projet'!$E$11+1,1))-AVERAGE(OFFSET($H$3,0,0,'Données projet'!$E$11+1,1))</f>
        <v>287.77879820226661</v>
      </c>
      <c r="BJ26" s="62">
        <f t="shared" si="38"/>
        <v>202.51334141855753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7.2</v>
      </c>
      <c r="N27" s="14">
        <f>IF('Données projet'!$A$36&gt;35,N26+M27-V26,IF(A27&lt;'Données projet'!$A$36,$K$205^A27,IF(A27='Données projet'!$A$36,'Données projet'!$B$36,N26+M27-V26)))</f>
        <v>95.800000000000011</v>
      </c>
      <c r="O27" s="14">
        <f>N27*VLOOKUP('Données projet'!$B$9,Paramètres!$A$1:$I$89,3,0)*VLOOKUP('Données projet'!$B$9,Paramètres!$A$1:$I$89,5,0)</f>
        <v>86.679839999999999</v>
      </c>
      <c r="P27" s="14">
        <f t="shared" si="33"/>
        <v>23.762739053789723</v>
      </c>
      <c r="Q27" s="22">
        <f t="shared" si="2"/>
        <v>192.35415851868379</v>
      </c>
      <c r="R27" s="62">
        <f t="shared" si="0"/>
        <v>418.12486670230362</v>
      </c>
      <c r="S27" s="62">
        <f ca="1">AVERAGE(OFFSET($R$3,0,0,'Données projet'!$E$9+1,1))-AVERAGE(OFFSET($H$3,0,0,'Données projet'!$E$9+1,1))</f>
        <v>435.66722289172486</v>
      </c>
      <c r="T27" s="62">
        <f t="shared" si="34"/>
        <v>297.32483725004136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3.6</v>
      </c>
      <c r="AI27" s="14">
        <f>IF('Données projet'!$A$62&gt;35,AI26+AH27-AQ26,IF(A27&lt;'Données projet'!$A$62,$AF$205^A27,IF(A27='Données projet'!$A$62,'Données projet'!$B$62,AI26+AH27-AQ26)))</f>
        <v>48.400000000000006</v>
      </c>
      <c r="AJ27" s="14">
        <f>AI27*VLOOKUP('Données projet'!$B$10,Paramètres!$A$1:$I$89,3,0)*VLOOKUP('Données projet'!$B$10,Paramètres!$A$1:$I$89,5,0)</f>
        <v>46.812480000000008</v>
      </c>
      <c r="AK27" s="14">
        <f t="shared" si="35"/>
        <v>13.78743945617388</v>
      </c>
      <c r="AL27" s="22">
        <f t="shared" si="4"/>
        <v>105.54485971950284</v>
      </c>
      <c r="AM27" s="62">
        <f t="shared" si="5"/>
        <v>331.31556790312266</v>
      </c>
      <c r="AN27" s="62">
        <f ca="1">AVERAGE(OFFSET($AM$3,0,0,'Données projet'!$E$10+1,1))-AVERAGE(OFFSET($H$3,0,0,'Données projet'!$E$10+1,1))</f>
        <v>265.30115826265654</v>
      </c>
      <c r="AO27" s="62">
        <f t="shared" si="36"/>
        <v>187.99130270616999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3.6</v>
      </c>
      <c r="BD27" s="13">
        <f>IF('Données projet'!$A$88&gt;35,BD26+BC27-BL26,IF(A27&lt;'Données projet'!$A$88,$BA$205^A27,IF(A27='Données projet'!$A$88,'Données projet'!$B$88,BD26+BC27-BL26)))</f>
        <v>48.400000000000006</v>
      </c>
      <c r="BE27" s="14">
        <f>BD27*VLOOKUP('Données projet'!$B$11,Paramètres!$A$1:$I$89,3,0)*VLOOKUP('Données projet'!$B$11,Paramètres!$A$1:$I$89,5,0)</f>
        <v>52.097760000000001</v>
      </c>
      <c r="BF27" s="14">
        <f t="shared" si="37"/>
        <v>15.154212683120621</v>
      </c>
      <c r="BG27" s="22">
        <f t="shared" si="7"/>
        <v>117.13051908976841</v>
      </c>
      <c r="BH27" s="62">
        <f t="shared" si="8"/>
        <v>342.9012272733882</v>
      </c>
      <c r="BI27" s="62">
        <f ca="1">AVERAGE(OFFSET($BH$3,0,0,'Données projet'!$E$11+1,1))-AVERAGE(OFFSET($H$3,0,0,'Données projet'!$E$11+1,1))</f>
        <v>287.77879820226661</v>
      </c>
      <c r="BJ27" s="62">
        <f t="shared" si="38"/>
        <v>202.51334141855753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103</v>
      </c>
      <c r="L28" s="13">
        <f>VLOOKUP(A28,'Données projet'!$A$35:$I$55,9,0)</f>
        <v>7.2</v>
      </c>
      <c r="M28" s="13">
        <f t="array" ref="M28">INDEX(L:L,MIN(IF(ISNUMBER(L28:L224),ROW(L28:L224),"")))</f>
        <v>7.2</v>
      </c>
      <c r="N28" s="14">
        <f>IF('Données projet'!$A$36&gt;35,N27+M28-V27,IF(A28&lt;'Données projet'!$A$36,$K$205^A28,IF(A28='Données projet'!$A$36,'Données projet'!$B$36,N27+M28-V27)))</f>
        <v>103.00000000000001</v>
      </c>
      <c r="O28" s="14">
        <f>N28*VLOOKUP('Données projet'!$B$9,Paramètres!$A$1:$I$89,3,0)*VLOOKUP('Données projet'!$B$9,Paramètres!$A$1:$I$89,5,0)</f>
        <v>93.194400000000002</v>
      </c>
      <c r="P28" s="14">
        <f t="shared" si="33"/>
        <v>25.33406653691528</v>
      </c>
      <c r="Q28" s="22">
        <f t="shared" si="2"/>
        <v>206.43707921846078</v>
      </c>
      <c r="R28" s="62">
        <f t="shared" si="0"/>
        <v>434.47485318479289</v>
      </c>
      <c r="S28" s="62">
        <f ca="1">AVERAGE(OFFSET($R$3,0,0,'Données projet'!$E$9+1,1))-AVERAGE(OFFSET($H$3,0,0,'Données projet'!$E$9+1,1))</f>
        <v>435.66722289172486</v>
      </c>
      <c r="T28" s="62">
        <f t="shared" si="34"/>
        <v>297.32483725004136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28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52</v>
      </c>
      <c r="AG28" s="13">
        <f>VLOOKUP(A28,'Données projet'!$A$61:$I$81,9,0)</f>
        <v>3.6</v>
      </c>
      <c r="AH28" s="13">
        <f t="array" ref="AH28">INDEX(AG:AG,MIN(IF(ISNUMBER(AG28:AG224),ROW(AG28:AG224),"")))</f>
        <v>3.6</v>
      </c>
      <c r="AI28" s="14">
        <f>IF('Données projet'!$A$62&gt;35,AI27+AH28-AQ27,IF(A28&lt;'Données projet'!$A$62,$AF$205^A28,IF(A28='Données projet'!$A$62,'Données projet'!$B$62,AI27+AH28-AQ27)))</f>
        <v>52.000000000000007</v>
      </c>
      <c r="AJ28" s="14">
        <f>AI28*VLOOKUP('Données projet'!$B$10,Paramètres!$A$1:$I$89,3,0)*VLOOKUP('Données projet'!$B$10,Paramètres!$A$1:$I$89,5,0)</f>
        <v>50.294400000000003</v>
      </c>
      <c r="AK28" s="14">
        <f t="shared" si="35"/>
        <v>14.689763750064973</v>
      </c>
      <c r="AL28" s="22">
        <f t="shared" si="4"/>
        <v>113.1807518646965</v>
      </c>
      <c r="AM28" s="62">
        <f t="shared" si="5"/>
        <v>341.21852583102861</v>
      </c>
      <c r="AN28" s="62">
        <f ca="1">AVERAGE(OFFSET($AM$3,0,0,'Données projet'!$E$10+1,1))-AVERAGE(OFFSET($H$3,0,0,'Données projet'!$E$10+1,1))</f>
        <v>265.30115826265654</v>
      </c>
      <c r="AO28" s="62">
        <f t="shared" si="36"/>
        <v>187.99130270616999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14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52</v>
      </c>
      <c r="BB28" s="13">
        <f>VLOOKUP(A28,'Données projet'!$A$87:$I$107,9,0)</f>
        <v>3.6</v>
      </c>
      <c r="BC28" s="13">
        <f t="array" ref="BC28">INDEX(BB:BB,MIN(IF(ISNUMBER(BB28:BB224),ROW(BB28:BB224),"")))</f>
        <v>3.6</v>
      </c>
      <c r="BD28" s="13">
        <f>IF('Données projet'!$A$88&gt;35,BD27+BC28-BL27,IF(A28&lt;'Données projet'!$A$88,$BA$205^A28,IF(A28='Données projet'!$A$88,'Données projet'!$B$88,BD27+BC28-BL27)))</f>
        <v>52.000000000000007</v>
      </c>
      <c r="BE28" s="14">
        <f>BD28*VLOOKUP('Données projet'!$B$11,Paramètres!$A$1:$I$89,3,0)*VLOOKUP('Données projet'!$B$11,Paramètres!$A$1:$I$89,5,0)</f>
        <v>55.972800000000007</v>
      </c>
      <c r="BF28" s="14">
        <f t="shared" si="37"/>
        <v>16.145985978099571</v>
      </c>
      <c r="BG28" s="22">
        <f t="shared" si="7"/>
        <v>125.60688557852342</v>
      </c>
      <c r="BH28" s="62">
        <f t="shared" si="8"/>
        <v>353.64465954485553</v>
      </c>
      <c r="BI28" s="62">
        <f ca="1">AVERAGE(OFFSET($BH$3,0,0,'Données projet'!$E$11+1,1))-AVERAGE(OFFSET($H$3,0,0,'Données projet'!$E$11+1,1))</f>
        <v>287.77879820226661</v>
      </c>
      <c r="BJ28" s="62">
        <f t="shared" si="38"/>
        <v>202.51334141855753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14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84.200000000000017</v>
      </c>
      <c r="O29" s="14">
        <f>N29*VLOOKUP('Données projet'!$B$9,Paramètres!$A$1:$I$89,3,0)*VLOOKUP('Données projet'!$B$9,Paramètres!$A$1:$I$89,5,0)</f>
        <v>76.184160000000006</v>
      </c>
      <c r="P29" s="14">
        <f t="shared" si="33"/>
        <v>21.201554232857223</v>
      </c>
      <c r="Q29" s="22">
        <f t="shared" si="2"/>
        <v>169.613452288893</v>
      </c>
      <c r="R29" s="62">
        <f t="shared" si="0"/>
        <v>399.90016633808318</v>
      </c>
      <c r="S29" s="62">
        <f ca="1">AVERAGE(OFFSET($R$3,0,0,'Données projet'!$E$9+1,1))-AVERAGE(OFFSET($H$3,0,0,'Données projet'!$E$9+1,1))</f>
        <v>435.66722289172486</v>
      </c>
      <c r="T29" s="62">
        <f t="shared" si="34"/>
        <v>297.32483725004136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4.5999999999999996</v>
      </c>
      <c r="AI29" s="14">
        <f>IF('Données projet'!$A$62&gt;35,AI28+AH29-AQ28,IF(A29&lt;'Données projet'!$A$62,$AF$205^A29,IF(A29='Données projet'!$A$62,'Données projet'!$B$62,AI28+AH29-AQ28)))</f>
        <v>42.600000000000009</v>
      </c>
      <c r="AJ29" s="14">
        <f>AI29*VLOOKUP('Données projet'!$B$10,Paramètres!$A$1:$I$89,3,0)*VLOOKUP('Données projet'!$B$10,Paramètres!$A$1:$I$89,5,0)</f>
        <v>41.202720000000014</v>
      </c>
      <c r="AK29" s="14">
        <f t="shared" si="35"/>
        <v>12.316876266356442</v>
      </c>
      <c r="AL29" s="22">
        <f t="shared" si="4"/>
        <v>93.213296830570826</v>
      </c>
      <c r="AM29" s="62">
        <f t="shared" si="5"/>
        <v>323.50001087976102</v>
      </c>
      <c r="AN29" s="62">
        <f ca="1">AVERAGE(OFFSET($AM$3,0,0,'Données projet'!$E$10+1,1))-AVERAGE(OFFSET($H$3,0,0,'Données projet'!$E$10+1,1))</f>
        <v>265.30115826265654</v>
      </c>
      <c r="AO29" s="62">
        <f t="shared" si="36"/>
        <v>187.99130270616999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4.5999999999999996</v>
      </c>
      <c r="BD29" s="13">
        <f>IF('Données projet'!$A$88&gt;35,BD28+BC29-BL28,IF(A29&lt;'Données projet'!$A$88,$BA$205^A29,IF(A29='Données projet'!$A$88,'Données projet'!$B$88,BD28+BC29-BL28)))</f>
        <v>42.600000000000009</v>
      </c>
      <c r="BE29" s="14">
        <f>BD29*VLOOKUP('Données projet'!$B$11,Paramètres!$A$1:$I$89,3,0)*VLOOKUP('Données projet'!$B$11,Paramètres!$A$1:$I$89,5,0)</f>
        <v>45.854640000000003</v>
      </c>
      <c r="BF29" s="14">
        <f t="shared" si="37"/>
        <v>13.537869966744621</v>
      </c>
      <c r="BG29" s="22">
        <f t="shared" si="7"/>
        <v>103.44195485874688</v>
      </c>
      <c r="BH29" s="62">
        <f t="shared" si="8"/>
        <v>333.72866890793705</v>
      </c>
      <c r="BI29" s="62">
        <f ca="1">AVERAGE(OFFSET($BH$3,0,0,'Données projet'!$E$11+1,1))-AVERAGE(OFFSET($H$3,0,0,'Données projet'!$E$11+1,1))</f>
        <v>287.77879820226661</v>
      </c>
      <c r="BJ29" s="62">
        <f t="shared" si="38"/>
        <v>202.51334141855753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93.40000000000002</v>
      </c>
      <c r="O30" s="14">
        <f>N30*VLOOKUP('Données projet'!$B$9,Paramètres!$A$1:$I$89,3,0)*VLOOKUP('Données projet'!$B$9,Paramètres!$A$1:$I$89,5,0)</f>
        <v>84.508320000000026</v>
      </c>
      <c r="P30" s="14">
        <f t="shared" si="33"/>
        <v>23.235950088324714</v>
      </c>
      <c r="Q30" s="22">
        <f t="shared" si="2"/>
        <v>187.65460373716556</v>
      </c>
      <c r="R30" s="62">
        <f t="shared" si="0"/>
        <v>420.17244660972904</v>
      </c>
      <c r="S30" s="62">
        <f ca="1">AVERAGE(OFFSET($R$3,0,0,'Données projet'!$E$9+1,1))-AVERAGE(OFFSET($H$3,0,0,'Données projet'!$E$9+1,1))</f>
        <v>435.66722289172486</v>
      </c>
      <c r="T30" s="62">
        <f t="shared" si="34"/>
        <v>297.32483725004136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4.5999999999999996</v>
      </c>
      <c r="AI30" s="14">
        <f>IF('Données projet'!$A$62&gt;35,AI29+AH30-AQ29,IF(A30&lt;'Données projet'!$A$62,$AF$205^A30,IF(A30='Données projet'!$A$62,'Données projet'!$B$62,AI29+AH30-AQ29)))</f>
        <v>47.20000000000001</v>
      </c>
      <c r="AJ30" s="14">
        <f>AI30*VLOOKUP('Données projet'!$B$10,Paramètres!$A$1:$I$89,3,0)*VLOOKUP('Données projet'!$B$10,Paramètres!$A$1:$I$89,5,0)</f>
        <v>45.651840000000014</v>
      </c>
      <c r="AK30" s="14">
        <f t="shared" si="35"/>
        <v>13.484952058962227</v>
      </c>
      <c r="AL30" s="22">
        <f t="shared" si="4"/>
        <v>102.99657950269257</v>
      </c>
      <c r="AM30" s="62">
        <f t="shared" si="5"/>
        <v>335.51442237525606</v>
      </c>
      <c r="AN30" s="62">
        <f ca="1">AVERAGE(OFFSET($AM$3,0,0,'Données projet'!$E$10+1,1))-AVERAGE(OFFSET($H$3,0,0,'Données projet'!$E$10+1,1))</f>
        <v>265.30115826265654</v>
      </c>
      <c r="AO30" s="62">
        <f t="shared" si="36"/>
        <v>187.99130270616999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4.5999999999999996</v>
      </c>
      <c r="BD30" s="13">
        <f>IF('Données projet'!$A$88&gt;35,BD29+BC30-BL29,IF(A30&lt;'Données projet'!$A$88,$BA$205^A30,IF(A30='Données projet'!$A$88,'Données projet'!$B$88,BD29+BC30-BL29)))</f>
        <v>47.20000000000001</v>
      </c>
      <c r="BE30" s="14">
        <f>BD30*VLOOKUP('Données projet'!$B$11,Paramètres!$A$1:$I$89,3,0)*VLOOKUP('Données projet'!$B$11,Paramètres!$A$1:$I$89,5,0)</f>
        <v>50.806080000000009</v>
      </c>
      <c r="BF30" s="14">
        <f t="shared" si="37"/>
        <v>14.821739175920101</v>
      </c>
      <c r="BG30" s="22">
        <f t="shared" si="7"/>
        <v>114.30178506472753</v>
      </c>
      <c r="BH30" s="62">
        <f t="shared" si="8"/>
        <v>346.81962793729105</v>
      </c>
      <c r="BI30" s="62">
        <f ca="1">AVERAGE(OFFSET($BH$3,0,0,'Données projet'!$E$11+1,1))-AVERAGE(OFFSET($H$3,0,0,'Données projet'!$E$11+1,1))</f>
        <v>287.77879820226661</v>
      </c>
      <c r="BJ30" s="62">
        <f t="shared" si="38"/>
        <v>202.51334141855753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102.60000000000002</v>
      </c>
      <c r="O31" s="14">
        <f>N31*VLOOKUP('Données projet'!$B$9,Paramètres!$A$1:$I$89,3,0)*VLOOKUP('Données projet'!$B$9,Paramètres!$A$1:$I$89,5,0)</f>
        <v>92.832480000000018</v>
      </c>
      <c r="P31" s="14">
        <f t="shared" si="33"/>
        <v>25.247114117480137</v>
      </c>
      <c r="Q31" s="22">
        <f t="shared" si="2"/>
        <v>205.65529308794461</v>
      </c>
      <c r="R31" s="62">
        <f t="shared" si="0"/>
        <v>440.3867625099287</v>
      </c>
      <c r="S31" s="62">
        <f ca="1">AVERAGE(OFFSET($R$3,0,0,'Données projet'!$E$9+1,1))-AVERAGE(OFFSET($H$3,0,0,'Données projet'!$E$9+1,1))</f>
        <v>435.66722289172486</v>
      </c>
      <c r="T31" s="62">
        <f t="shared" si="34"/>
        <v>297.32483725004136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4.5999999999999996</v>
      </c>
      <c r="AI31" s="14">
        <f>IF('Données projet'!$A$62&gt;35,AI30+AH31-AQ30,IF(A31&lt;'Données projet'!$A$62,$AF$205^A31,IF(A31='Données projet'!$A$62,'Données projet'!$B$62,AI30+AH31-AQ30)))</f>
        <v>51.800000000000011</v>
      </c>
      <c r="AJ31" s="14">
        <f>AI31*VLOOKUP('Données projet'!$B$10,Paramètres!$A$1:$I$89,3,0)*VLOOKUP('Données projet'!$B$10,Paramètres!$A$1:$I$89,5,0)</f>
        <v>50.100960000000015</v>
      </c>
      <c r="AK31" s="14">
        <f t="shared" si="35"/>
        <v>14.639829961942766</v>
      </c>
      <c r="AL31" s="22">
        <f t="shared" si="4"/>
        <v>112.75687585038368</v>
      </c>
      <c r="AM31" s="62">
        <f t="shared" si="5"/>
        <v>347.48834527236778</v>
      </c>
      <c r="AN31" s="62">
        <f ca="1">AVERAGE(OFFSET($AM$3,0,0,'Données projet'!$E$10+1,1))-AVERAGE(OFFSET($H$3,0,0,'Données projet'!$E$10+1,1))</f>
        <v>265.30115826265654</v>
      </c>
      <c r="AO31" s="62">
        <f t="shared" si="36"/>
        <v>187.99130270616999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4.5999999999999996</v>
      </c>
      <c r="BD31" s="13">
        <f>IF('Données projet'!$A$88&gt;35,BD30+BC31-BL30,IF(A31&lt;'Données projet'!$A$88,$BA$205^A31,IF(A31='Données projet'!$A$88,'Données projet'!$B$88,BD30+BC31-BL30)))</f>
        <v>51.800000000000011</v>
      </c>
      <c r="BE31" s="14">
        <f>BD31*VLOOKUP('Données projet'!$B$11,Paramètres!$A$1:$I$89,3,0)*VLOOKUP('Données projet'!$B$11,Paramètres!$A$1:$I$89,5,0)</f>
        <v>55.757520000000007</v>
      </c>
      <c r="BF31" s="14">
        <f t="shared" si="37"/>
        <v>16.091102165359487</v>
      </c>
      <c r="BG31" s="22">
        <f t="shared" si="7"/>
        <v>125.13635027133448</v>
      </c>
      <c r="BH31" s="62">
        <f t="shared" si="8"/>
        <v>359.86781969331855</v>
      </c>
      <c r="BI31" s="62">
        <f ca="1">AVERAGE(OFFSET($BH$3,0,0,'Données projet'!$E$11+1,1))-AVERAGE(OFFSET($H$3,0,0,'Données projet'!$E$11+1,1))</f>
        <v>287.77879820226661</v>
      </c>
      <c r="BJ31" s="62">
        <f t="shared" si="38"/>
        <v>202.51334141855753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111.80000000000003</v>
      </c>
      <c r="O32" s="14">
        <f>N32*VLOOKUP('Données projet'!$B$9,Paramètres!$A$1:$I$89,3,0)*VLOOKUP('Données projet'!$B$9,Paramètres!$A$1:$I$89,5,0)</f>
        <v>101.15664000000001</v>
      </c>
      <c r="P32" s="14">
        <f t="shared" si="33"/>
        <v>27.237366379381644</v>
      </c>
      <c r="Q32" s="22">
        <f t="shared" si="2"/>
        <v>223.61956111075639</v>
      </c>
      <c r="R32" s="62">
        <f t="shared" si="0"/>
        <v>460.54745843353226</v>
      </c>
      <c r="S32" s="62">
        <f ca="1">AVERAGE(OFFSET($R$3,0,0,'Données projet'!$E$9+1,1))-AVERAGE(OFFSET($H$3,0,0,'Données projet'!$E$9+1,1))</f>
        <v>435.66722289172486</v>
      </c>
      <c r="T32" s="62">
        <f t="shared" si="34"/>
        <v>297.32483725004136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4.5999999999999996</v>
      </c>
      <c r="AI32" s="14">
        <f>IF('Données projet'!$A$62&gt;35,AI31+AH32-AQ31,IF(A32&lt;'Données projet'!$A$62,$AF$205^A32,IF(A32='Données projet'!$A$62,'Données projet'!$B$62,AI31+AH32-AQ31)))</f>
        <v>56.400000000000013</v>
      </c>
      <c r="AJ32" s="14">
        <f>AI32*VLOOKUP('Données projet'!$B$10,Paramètres!$A$1:$I$89,3,0)*VLOOKUP('Données projet'!$B$10,Paramètres!$A$1:$I$89,5,0)</f>
        <v>54.550080000000015</v>
      </c>
      <c r="AK32" s="14">
        <f t="shared" si="35"/>
        <v>15.782815260920124</v>
      </c>
      <c r="AL32" s="22">
        <f t="shared" si="4"/>
        <v>122.49645924610256</v>
      </c>
      <c r="AM32" s="62">
        <f t="shared" si="5"/>
        <v>359.42435656887841</v>
      </c>
      <c r="AN32" s="62">
        <f ca="1">AVERAGE(OFFSET($AM$3,0,0,'Données projet'!$E$10+1,1))-AVERAGE(OFFSET($H$3,0,0,'Données projet'!$E$10+1,1))</f>
        <v>265.30115826265654</v>
      </c>
      <c r="AO32" s="62">
        <f t="shared" si="36"/>
        <v>187.99130270616999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4.5999999999999996</v>
      </c>
      <c r="BD32" s="13">
        <f>IF('Données projet'!$A$88&gt;35,BD31+BC32-BL31,IF(A32&lt;'Données projet'!$A$88,$BA$205^A32,IF(A32='Données projet'!$A$88,'Données projet'!$B$88,BD31+BC32-BL31)))</f>
        <v>56.400000000000013</v>
      </c>
      <c r="BE32" s="14">
        <f>BD32*VLOOKUP('Données projet'!$B$11,Paramètres!$A$1:$I$89,3,0)*VLOOKUP('Données projet'!$B$11,Paramètres!$A$1:$I$89,5,0)</f>
        <v>60.708960000000005</v>
      </c>
      <c r="BF32" s="14">
        <f t="shared" si="37"/>
        <v>17.347393615954182</v>
      </c>
      <c r="BG32" s="22">
        <f t="shared" si="7"/>
        <v>135.94814921445354</v>
      </c>
      <c r="BH32" s="62">
        <f t="shared" si="8"/>
        <v>372.8760465372294</v>
      </c>
      <c r="BI32" s="62">
        <f ca="1">AVERAGE(OFFSET($BH$3,0,0,'Données projet'!$E$11+1,1))-AVERAGE(OFFSET($H$3,0,0,'Données projet'!$E$11+1,1))</f>
        <v>287.77879820226661</v>
      </c>
      <c r="BJ32" s="62">
        <f t="shared" si="38"/>
        <v>202.51334141855753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121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121.00000000000003</v>
      </c>
      <c r="O33" s="14">
        <f>N33*VLOOKUP('Données projet'!$B$9,Paramètres!$A$1:$I$89,3,0)*VLOOKUP('Données projet'!$B$9,Paramètres!$A$1:$I$89,5,0)</f>
        <v>109.48080000000002</v>
      </c>
      <c r="P33" s="14">
        <f t="shared" si="33"/>
        <v>29.208623339903898</v>
      </c>
      <c r="Q33" s="22">
        <f t="shared" si="2"/>
        <v>241.55074565033269</v>
      </c>
      <c r="R33" s="62">
        <f t="shared" si="0"/>
        <v>480.65817058337467</v>
      </c>
      <c r="S33" s="62">
        <f ca="1">AVERAGE(OFFSET($R$3,0,0,'Données projet'!$E$9+1,1))-AVERAGE(OFFSET($H$3,0,0,'Données projet'!$E$9+1,1))</f>
        <v>435.66722289172486</v>
      </c>
      <c r="T33" s="62">
        <f t="shared" si="34"/>
        <v>297.32483725004136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28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61</v>
      </c>
      <c r="AG33" s="13">
        <f>VLOOKUP(A33,'Données projet'!$A$61:$I$81,9,0)</f>
        <v>4.5999999999999996</v>
      </c>
      <c r="AH33" s="13">
        <f t="array" ref="AH33">INDEX(AG:AG,MIN(IF(ISNUMBER(AG33:AG229),ROW(AG33:AG229),"")))</f>
        <v>4.5999999999999996</v>
      </c>
      <c r="AI33" s="14">
        <f>IF('Données projet'!$A$62&gt;35,AI32+AH33-AQ32,IF(A33&lt;'Données projet'!$A$62,$AF$205^A33,IF(A33='Données projet'!$A$62,'Données projet'!$B$62,AI32+AH33-AQ32)))</f>
        <v>61.000000000000014</v>
      </c>
      <c r="AJ33" s="14">
        <f>AI33*VLOOKUP('Données projet'!$B$10,Paramètres!$A$1:$I$89,3,0)*VLOOKUP('Données projet'!$B$10,Paramètres!$A$1:$I$89,5,0)</f>
        <v>58.999200000000016</v>
      </c>
      <c r="AK33" s="14">
        <f t="shared" si="35"/>
        <v>16.914988195097422</v>
      </c>
      <c r="AL33" s="22">
        <f t="shared" si="4"/>
        <v>132.21721110646135</v>
      </c>
      <c r="AM33" s="62">
        <f t="shared" si="5"/>
        <v>371.32463603950333</v>
      </c>
      <c r="AN33" s="62">
        <f ca="1">AVERAGE(OFFSET($AM$3,0,0,'Données projet'!$E$10+1,1))-AVERAGE(OFFSET($H$3,0,0,'Données projet'!$E$10+1,1))</f>
        <v>265.30115826265654</v>
      </c>
      <c r="AO33" s="62">
        <f t="shared" si="36"/>
        <v>187.99130270616999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14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61</v>
      </c>
      <c r="BB33" s="13">
        <f>VLOOKUP(A33,'Données projet'!$A$87:$I$107,9,0)</f>
        <v>4.5999999999999996</v>
      </c>
      <c r="BC33" s="13">
        <f t="array" ref="BC33">INDEX(BB:BB,MIN(IF(ISNUMBER(BB33:BB229),ROW(BB33:BB229),"")))</f>
        <v>4.5999999999999996</v>
      </c>
      <c r="BD33" s="13">
        <f>IF('Données projet'!$A$88&gt;35,BD32+BC33-BL32,IF(A33&lt;'Données projet'!$A$88,$BA$205^A33,IF(A33='Données projet'!$A$88,'Données projet'!$B$88,BD32+BC33-BL32)))</f>
        <v>61.000000000000014</v>
      </c>
      <c r="BE33" s="14">
        <f>BD33*VLOOKUP('Données projet'!$B$11,Paramètres!$A$1:$I$89,3,0)*VLOOKUP('Données projet'!$B$11,Paramètres!$A$1:$I$89,5,0)</f>
        <v>65.66040000000001</v>
      </c>
      <c r="BF33" s="14">
        <f t="shared" si="37"/>
        <v>18.591800852927591</v>
      </c>
      <c r="BG33" s="22">
        <f t="shared" si="7"/>
        <v>146.73924981884889</v>
      </c>
      <c r="BH33" s="62">
        <f t="shared" si="8"/>
        <v>385.84667475189087</v>
      </c>
      <c r="BI33" s="62">
        <f ca="1">AVERAGE(OFFSET($BH$3,0,0,'Données projet'!$E$11+1,1))-AVERAGE(OFFSET($H$3,0,0,'Données projet'!$E$11+1,1))</f>
        <v>287.77879820226661</v>
      </c>
      <c r="BJ33" s="62">
        <f t="shared" si="38"/>
        <v>202.51334141855753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14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IF('Données projet'!$A$36&gt;35,N33+M34-V33,IF(A34&lt;'Données projet'!$A$36,$K$205^A34,IF(A34='Données projet'!$A$36,'Données projet'!$B$36,N33+M34-V33)))</f>
        <v>103.80000000000004</v>
      </c>
      <c r="O34" s="14">
        <f>N34*VLOOKUP('Données projet'!$B$9,Paramètres!$A$1:$I$89,3,0)*VLOOKUP('Données projet'!$B$9,Paramètres!$A$1:$I$89,5,0)</f>
        <v>93.91824000000004</v>
      </c>
      <c r="P34" s="14">
        <f t="shared" si="33"/>
        <v>25.507853654186022</v>
      </c>
      <c r="Q34" s="22">
        <f t="shared" si="2"/>
        <v>208.00044644770739</v>
      </c>
      <c r="R34" s="62">
        <f t="shared" si="0"/>
        <v>448.04856966052495</v>
      </c>
      <c r="S34" s="62">
        <f ca="1">AVERAGE(OFFSET($R$3,0,0,'Données projet'!$E$9+1,1))-AVERAGE(OFFSET($H$3,0,0,'Données projet'!$E$9+1,1))</f>
        <v>435.66722289172486</v>
      </c>
      <c r="T34" s="62">
        <f t="shared" si="34"/>
        <v>297.32483725004136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5.4</v>
      </c>
      <c r="AI34" s="14">
        <f>IF('Données projet'!$A$62&gt;35,AI33+AH34-AQ33,IF(A34&lt;'Données projet'!$A$62,$AF$205^A34,IF(A34='Données projet'!$A$62,'Données projet'!$B$62,AI33+AH34-AQ33)))</f>
        <v>52.40000000000002</v>
      </c>
      <c r="AJ34" s="14">
        <f>AI34*VLOOKUP('Données projet'!$B$10,Paramètres!$A$1:$I$89,3,0)*VLOOKUP('Données projet'!$B$10,Paramètres!$A$1:$I$89,5,0)</f>
        <v>50.681280000000022</v>
      </c>
      <c r="AK34" s="14">
        <f t="shared" si="35"/>
        <v>14.789564371805037</v>
      </c>
      <c r="AL34" s="22">
        <f t="shared" si="4"/>
        <v>114.0283872808938</v>
      </c>
      <c r="AM34" s="62">
        <f t="shared" si="5"/>
        <v>354.07651049371134</v>
      </c>
      <c r="AN34" s="62">
        <f ca="1">AVERAGE(OFFSET($AM$3,0,0,'Données projet'!$E$10+1,1))-AVERAGE(OFFSET($H$3,0,0,'Données projet'!$E$10+1,1))</f>
        <v>265.30115826265654</v>
      </c>
      <c r="AO34" s="62">
        <f t="shared" si="36"/>
        <v>187.99130270616999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5.4</v>
      </c>
      <c r="BD34" s="13">
        <f>IF('Données projet'!$A$88&gt;35,BD33+BC34-BL33,IF(A34&lt;'Données projet'!$A$88,$BA$205^A34,IF(A34='Données projet'!$A$88,'Données projet'!$B$88,BD33+BC34-BL33)))</f>
        <v>52.40000000000002</v>
      </c>
      <c r="BE34" s="14">
        <f>BD34*VLOOKUP('Données projet'!$B$11,Paramètres!$A$1:$I$89,3,0)*VLOOKUP('Données projet'!$B$11,Paramètres!$A$1:$I$89,5,0)</f>
        <v>56.403360000000021</v>
      </c>
      <c r="BF34" s="14">
        <f t="shared" si="37"/>
        <v>16.255680011757082</v>
      </c>
      <c r="BG34" s="22">
        <f t="shared" si="7"/>
        <v>126.54782802047693</v>
      </c>
      <c r="BH34" s="62">
        <f t="shared" si="8"/>
        <v>366.5959512332945</v>
      </c>
      <c r="BI34" s="62">
        <f ca="1">AVERAGE(OFFSET($BH$3,0,0,'Données projet'!$E$11+1,1))-AVERAGE(OFFSET($H$3,0,0,'Données projet'!$E$11+1,1))</f>
        <v>287.77879820226661</v>
      </c>
      <c r="BJ34" s="62">
        <f t="shared" si="38"/>
        <v>202.51334141855753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IF('Données projet'!$A$36&gt;35,N34+M35-V34,IF(A35&lt;'Données projet'!$A$36,$K$205^A35,IF(A35='Données projet'!$A$36,'Données projet'!$B$36,N34+M35-V34)))</f>
        <v>114.60000000000004</v>
      </c>
      <c r="O35" s="14">
        <f>N35*VLOOKUP('Données projet'!$B$9,Paramètres!$A$1:$I$89,3,0)*VLOOKUP('Données projet'!$B$9,Paramètres!$A$1:$I$89,5,0)</f>
        <v>103.69008000000004</v>
      </c>
      <c r="P35" s="14">
        <f t="shared" si="33"/>
        <v>27.83924565319537</v>
      </c>
      <c r="Q35" s="22">
        <f t="shared" ref="Q35:Q66" si="53">(O35+P35)*0.475*44/12</f>
        <v>229.08024217931529</v>
      </c>
      <c r="R35" s="62">
        <f t="shared" si="0"/>
        <v>470.05274465984064</v>
      </c>
      <c r="S35" s="62">
        <f ca="1">AVERAGE(OFFSET($R$3,0,0,'Données projet'!$E$9+1,1))-AVERAGE(OFFSET($H$3,0,0,'Données projet'!$E$9+1,1))</f>
        <v>435.66722289172486</v>
      </c>
      <c r="T35" s="62">
        <f t="shared" si="34"/>
        <v>297.32483725004136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5.4</v>
      </c>
      <c r="AI35" s="14">
        <f>IF('Données projet'!$A$62&gt;35,AI34+AH35-AQ34,IF(A35&lt;'Données projet'!$A$62,$AF$205^A35,IF(A35='Données projet'!$A$62,'Données projet'!$B$62,AI34+AH35-AQ34)))</f>
        <v>57.800000000000018</v>
      </c>
      <c r="AJ35" s="14">
        <f>AI35*VLOOKUP('Données projet'!$B$10,Paramètres!$A$1:$I$89,3,0)*VLOOKUP('Données projet'!$B$10,Paramètres!$A$1:$I$89,5,0)</f>
        <v>55.904160000000019</v>
      </c>
      <c r="AK35" s="14">
        <f t="shared" si="35"/>
        <v>16.128489464064355</v>
      </c>
      <c r="AL35" s="22">
        <f t="shared" si="4"/>
        <v>125.45686448324545</v>
      </c>
      <c r="AM35" s="62">
        <f t="shared" si="5"/>
        <v>366.4293669637708</v>
      </c>
      <c r="AN35" s="62">
        <f ca="1">AVERAGE(OFFSET($AM$3,0,0,'Données projet'!$E$10+1,1))-AVERAGE(OFFSET($H$3,0,0,'Données projet'!$E$10+1,1))</f>
        <v>265.30115826265654</v>
      </c>
      <c r="AO35" s="62">
        <f t="shared" si="36"/>
        <v>187.99130270616999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5.4</v>
      </c>
      <c r="BD35" s="13">
        <f>IF('Données projet'!$A$88&gt;35,BD34+BC35-BL34,IF(A35&lt;'Données projet'!$A$88,$BA$205^A35,IF(A35='Données projet'!$A$88,'Données projet'!$B$88,BD34+BC35-BL34)))</f>
        <v>57.800000000000018</v>
      </c>
      <c r="BE35" s="14">
        <f>BD35*VLOOKUP('Données projet'!$B$11,Paramètres!$A$1:$I$89,3,0)*VLOOKUP('Données projet'!$B$11,Paramètres!$A$1:$I$89,5,0)</f>
        <v>62.215920000000018</v>
      </c>
      <c r="BF35" s="14">
        <f t="shared" si="37"/>
        <v>17.727335113443058</v>
      </c>
      <c r="BG35" s="22">
        <f t="shared" si="7"/>
        <v>139.23450265591333</v>
      </c>
      <c r="BH35" s="62">
        <f t="shared" si="8"/>
        <v>380.20700513643862</v>
      </c>
      <c r="BI35" s="62">
        <f ca="1">AVERAGE(OFFSET($BH$3,0,0,'Données projet'!$E$11+1,1))-AVERAGE(OFFSET($H$3,0,0,'Données projet'!$E$11+1,1))</f>
        <v>287.77879820226661</v>
      </c>
      <c r="BJ35" s="62">
        <f t="shared" si="38"/>
        <v>202.51334141855753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IF('Données projet'!$A$36&gt;35,N35+M36-V35,IF(A36&lt;'Données projet'!$A$36,$K$205^A36,IF(A36='Données projet'!$A$36,'Données projet'!$B$36,N35+M36-V35)))</f>
        <v>125.40000000000003</v>
      </c>
      <c r="O36" s="14">
        <f>N36*VLOOKUP('Données projet'!$B$9,Paramètres!$A$1:$I$89,3,0)*VLOOKUP('Données projet'!$B$9,Paramètres!$A$1:$I$89,5,0)</f>
        <v>113.46192000000002</v>
      </c>
      <c r="P36" s="14">
        <f t="shared" si="33"/>
        <v>30.145163126535493</v>
      </c>
      <c r="Q36" s="22">
        <f t="shared" si="53"/>
        <v>250.11566977871598</v>
      </c>
      <c r="R36" s="62">
        <f t="shared" si="0"/>
        <v>491.99651561325675</v>
      </c>
      <c r="S36" s="62">
        <f ca="1">AVERAGE(OFFSET($R$3,0,0,'Données projet'!$E$9+1,1))-AVERAGE(OFFSET($H$3,0,0,'Données projet'!$E$9+1,1))</f>
        <v>435.66722289172486</v>
      </c>
      <c r="T36" s="62">
        <f t="shared" si="34"/>
        <v>297.32483725004136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5.4</v>
      </c>
      <c r="AI36" s="14">
        <f>IF('Données projet'!$A$62&gt;35,AI35+AH36-AQ35,IF(A36&lt;'Données projet'!$A$62,$AF$205^A36,IF(A36='Données projet'!$A$62,'Données projet'!$B$62,AI35+AH36-AQ35)))</f>
        <v>63.200000000000017</v>
      </c>
      <c r="AJ36" s="14">
        <f>AI36*VLOOKUP('Données projet'!$B$10,Paramètres!$A$1:$I$89,3,0)*VLOOKUP('Données projet'!$B$10,Paramètres!$A$1:$I$89,5,0)</f>
        <v>61.127040000000022</v>
      </c>
      <c r="AK36" s="14">
        <f t="shared" si="35"/>
        <v>17.452910724805108</v>
      </c>
      <c r="AL36" s="22">
        <f t="shared" si="4"/>
        <v>136.86008084570224</v>
      </c>
      <c r="AM36" s="62">
        <f t="shared" si="5"/>
        <v>378.74092668024298</v>
      </c>
      <c r="AN36" s="62">
        <f ca="1">AVERAGE(OFFSET($AM$3,0,0,'Données projet'!$E$10+1,1))-AVERAGE(OFFSET($H$3,0,0,'Données projet'!$E$10+1,1))</f>
        <v>265.30115826265654</v>
      </c>
      <c r="AO36" s="62">
        <f t="shared" si="36"/>
        <v>187.99130270616999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5.4</v>
      </c>
      <c r="BD36" s="13">
        <f>IF('Données projet'!$A$88&gt;35,BD35+BC36-BL35,IF(A36&lt;'Données projet'!$A$88,$BA$205^A36,IF(A36='Données projet'!$A$88,'Données projet'!$B$88,BD35+BC36-BL35)))</f>
        <v>63.200000000000017</v>
      </c>
      <c r="BE36" s="14">
        <f>BD36*VLOOKUP('Données projet'!$B$11,Paramètres!$A$1:$I$89,3,0)*VLOOKUP('Données projet'!$B$11,Paramètres!$A$1:$I$89,5,0)</f>
        <v>68.028480000000016</v>
      </c>
      <c r="BF36" s="14">
        <f t="shared" si="37"/>
        <v>19.183048593172952</v>
      </c>
      <c r="BG36" s="22">
        <f t="shared" si="7"/>
        <v>151.89341229977626</v>
      </c>
      <c r="BH36" s="62">
        <f t="shared" si="8"/>
        <v>393.77425813431699</v>
      </c>
      <c r="BI36" s="62">
        <f ca="1">AVERAGE(OFFSET($BH$3,0,0,'Données projet'!$E$11+1,1))-AVERAGE(OFFSET($H$3,0,0,'Données projet'!$E$11+1,1))</f>
        <v>287.77879820226661</v>
      </c>
      <c r="BJ36" s="62">
        <f t="shared" si="38"/>
        <v>202.51334141855753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IF('Données projet'!$A$36&gt;35,N36+M37-V36,IF(A37&lt;'Données projet'!$A$36,$K$205^A37,IF(A37='Données projet'!$A$36,'Données projet'!$B$36,N36+M37-V36)))</f>
        <v>136.20000000000005</v>
      </c>
      <c r="O37" s="14">
        <f>N37*VLOOKUP('Données projet'!$B$9,Paramètres!$A$1:$I$89,3,0)*VLOOKUP('Données projet'!$B$9,Paramètres!$A$1:$I$89,5,0)</f>
        <v>123.23376000000005</v>
      </c>
      <c r="P37" s="14">
        <f t="shared" si="33"/>
        <v>32.428049504876491</v>
      </c>
      <c r="Q37" s="22">
        <f t="shared" si="53"/>
        <v>271.11098488765998</v>
      </c>
      <c r="R37" s="62">
        <f t="shared" si="0"/>
        <v>513.88441634977562</v>
      </c>
      <c r="S37" s="62">
        <f ca="1">AVERAGE(OFFSET($R$3,0,0,'Données projet'!$E$9+1,1))-AVERAGE(OFFSET($H$3,0,0,'Données projet'!$E$9+1,1))</f>
        <v>435.66722289172486</v>
      </c>
      <c r="T37" s="62">
        <f t="shared" si="34"/>
        <v>297.32483725004136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5.4</v>
      </c>
      <c r="AI37" s="14">
        <f>IF('Données projet'!$A$62&gt;35,AI36+AH37-AQ36,IF(A37&lt;'Données projet'!$A$62,$AF$205^A37,IF(A37='Données projet'!$A$62,'Données projet'!$B$62,AI36+AH37-AQ36)))</f>
        <v>68.600000000000023</v>
      </c>
      <c r="AJ37" s="14">
        <f>AI37*VLOOKUP('Données projet'!$B$10,Paramètres!$A$1:$I$89,3,0)*VLOOKUP('Données projet'!$B$10,Paramètres!$A$1:$I$89,5,0)</f>
        <v>66.349920000000026</v>
      </c>
      <c r="AK37" s="14">
        <f t="shared" si="35"/>
        <v>18.764208303626813</v>
      </c>
      <c r="AL37" s="22">
        <f t="shared" si="4"/>
        <v>148.24044012881674</v>
      </c>
      <c r="AM37" s="62">
        <f t="shared" si="5"/>
        <v>391.01387159093235</v>
      </c>
      <c r="AN37" s="62">
        <f ca="1">AVERAGE(OFFSET($AM$3,0,0,'Données projet'!$E$10+1,1))-AVERAGE(OFFSET($H$3,0,0,'Données projet'!$E$10+1,1))</f>
        <v>265.30115826265654</v>
      </c>
      <c r="AO37" s="62">
        <f t="shared" si="36"/>
        <v>187.99130270616999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5.4</v>
      </c>
      <c r="BD37" s="13">
        <f>IF('Données projet'!$A$88&gt;35,BD36+BC37-BL36,IF(A37&lt;'Données projet'!$A$88,$BA$205^A37,IF(A37='Données projet'!$A$88,'Données projet'!$B$88,BD36+BC37-BL36)))</f>
        <v>68.600000000000023</v>
      </c>
      <c r="BE37" s="14">
        <f>BD37*VLOOKUP('Données projet'!$B$11,Paramètres!$A$1:$I$89,3,0)*VLOOKUP('Données projet'!$B$11,Paramètres!$A$1:$I$89,5,0)</f>
        <v>73.841040000000021</v>
      </c>
      <c r="BF37" s="14">
        <f t="shared" si="37"/>
        <v>20.624337417213948</v>
      </c>
      <c r="BG37" s="22">
        <f t="shared" si="7"/>
        <v>164.52719900164766</v>
      </c>
      <c r="BH37" s="62">
        <f t="shared" si="8"/>
        <v>407.30063046376324</v>
      </c>
      <c r="BI37" s="62">
        <f ca="1">AVERAGE(OFFSET($BH$3,0,0,'Données projet'!$E$11+1,1))-AVERAGE(OFFSET($H$3,0,0,'Données projet'!$E$11+1,1))</f>
        <v>287.77879820226661</v>
      </c>
      <c r="BJ37" s="62">
        <f t="shared" si="38"/>
        <v>202.51334141855753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147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IF('Données projet'!$A$36&gt;35,N37+M38-V37,IF(A38&lt;'Données projet'!$A$36,$K$205^A38,IF(A38='Données projet'!$A$36,'Données projet'!$B$36,N37+M38-V37)))</f>
        <v>147.00000000000006</v>
      </c>
      <c r="O38" s="14">
        <f>N38*VLOOKUP('Données projet'!$B$9,Paramètres!$A$1:$I$89,3,0)*VLOOKUP('Données projet'!$B$9,Paramètres!$A$1:$I$89,5,0)</f>
        <v>133.00560000000004</v>
      </c>
      <c r="P38" s="14">
        <f t="shared" si="33"/>
        <v>34.689938673073549</v>
      </c>
      <c r="Q38" s="22">
        <f t="shared" si="53"/>
        <v>292.06972985560316</v>
      </c>
      <c r="R38" s="62">
        <f t="shared" si="0"/>
        <v>535.72026258017763</v>
      </c>
      <c r="S38" s="62">
        <f ca="1">AVERAGE(OFFSET($R$3,0,0,'Données projet'!$E$9+1,1))-AVERAGE(OFFSET($H$3,0,0,'Données projet'!$E$9+1,1))</f>
        <v>435.66722289172486</v>
      </c>
      <c r="T38" s="62">
        <f t="shared" si="34"/>
        <v>297.32483725004136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28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74</v>
      </c>
      <c r="AG38" s="13">
        <f>VLOOKUP(A38,'Données projet'!$A$61:$I$81,9,0)</f>
        <v>5.4</v>
      </c>
      <c r="AH38" s="13">
        <f t="array" ref="AH38">INDEX(AG:AG,MIN(IF(ISNUMBER(AG38:AG234),ROW(AG38:AG234),"")))</f>
        <v>5.4</v>
      </c>
      <c r="AI38" s="14">
        <f>IF('Données projet'!$A$62&gt;35,AI37+AH38-AQ37,IF(A38&lt;'Données projet'!$A$62,$AF$205^A38,IF(A38='Données projet'!$A$62,'Données projet'!$B$62,AI37+AH38-AQ37)))</f>
        <v>74.000000000000028</v>
      </c>
      <c r="AJ38" s="14">
        <f>AI38*VLOOKUP('Données projet'!$B$10,Paramètres!$A$1:$I$89,3,0)*VLOOKUP('Données projet'!$B$10,Paramètres!$A$1:$I$89,5,0)</f>
        <v>71.572800000000029</v>
      </c>
      <c r="AK38" s="14">
        <f t="shared" si="35"/>
        <v>20.063532712034007</v>
      </c>
      <c r="AL38" s="22">
        <f t="shared" si="4"/>
        <v>159.59994614012592</v>
      </c>
      <c r="AM38" s="62">
        <f t="shared" si="5"/>
        <v>403.25047886470043</v>
      </c>
      <c r="AN38" s="62">
        <f ca="1">AVERAGE(OFFSET($AM$3,0,0,'Données projet'!$E$10+1,1))-AVERAGE(OFFSET($H$3,0,0,'Données projet'!$E$10+1,1))</f>
        <v>265.30115826265654</v>
      </c>
      <c r="AO38" s="62">
        <f t="shared" si="36"/>
        <v>187.99130270616999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14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74</v>
      </c>
      <c r="BB38" s="13">
        <f>VLOOKUP(A38,'Données projet'!$A$87:$I$107,9,0)</f>
        <v>5.4</v>
      </c>
      <c r="BC38" s="13">
        <f t="array" ref="BC38">INDEX(BB:BB,MIN(IF(ISNUMBER(BB38:BB234),ROW(BB38:BB234),"")))</f>
        <v>5.4</v>
      </c>
      <c r="BD38" s="13">
        <f>IF('Données projet'!$A$88&gt;35,BD37+BC38-BL37,IF(A38&lt;'Données projet'!$A$88,$BA$205^A38,IF(A38='Données projet'!$A$88,'Données projet'!$B$88,BD37+BC38-BL37)))</f>
        <v>74.000000000000028</v>
      </c>
      <c r="BE38" s="14">
        <f>BD38*VLOOKUP('Données projet'!$B$11,Paramètres!$A$1:$I$89,3,0)*VLOOKUP('Données projet'!$B$11,Paramètres!$A$1:$I$89,5,0)</f>
        <v>79.653600000000026</v>
      </c>
      <c r="BF38" s="14">
        <f t="shared" si="37"/>
        <v>22.052466149308238</v>
      </c>
      <c r="BG38" s="22">
        <f t="shared" si="7"/>
        <v>177.1380652100452</v>
      </c>
      <c r="BH38" s="62">
        <f t="shared" si="8"/>
        <v>420.7885979346197</v>
      </c>
      <c r="BI38" s="62">
        <f ca="1">AVERAGE(OFFSET($BH$3,0,0,'Données projet'!$E$11+1,1))-AVERAGE(OFFSET($H$3,0,0,'Données projet'!$E$11+1,1))</f>
        <v>287.77879820226661</v>
      </c>
      <c r="BJ38" s="62">
        <f t="shared" si="38"/>
        <v>202.51334141855753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14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11.2</v>
      </c>
      <c r="N39" s="14">
        <f>IF('Données projet'!$A$36&gt;35,N38+M39-V38,IF(A39&lt;'Données projet'!$A$36,$K$205^A39,IF(A39='Données projet'!$A$36,'Données projet'!$B$36,N38+M39-V38)))</f>
        <v>130.20000000000005</v>
      </c>
      <c r="O39" s="14">
        <f>N39*VLOOKUP('Données projet'!$B$9,Paramètres!$A$1:$I$89,3,0)*VLOOKUP('Données projet'!$B$9,Paramètres!$A$1:$I$89,5,0)</f>
        <v>117.80496000000004</v>
      </c>
      <c r="P39" s="14">
        <f t="shared" si="33"/>
        <v>31.162493487829593</v>
      </c>
      <c r="Q39" s="22">
        <f t="shared" si="53"/>
        <v>259.45164815796994</v>
      </c>
      <c r="R39" s="62">
        <f t="shared" si="0"/>
        <v>503.96406639900437</v>
      </c>
      <c r="S39" s="62">
        <f ca="1">AVERAGE(OFFSET($R$3,0,0,'Données projet'!$E$9+1,1))-AVERAGE(OFFSET($H$3,0,0,'Données projet'!$E$9+1,1))</f>
        <v>435.66722289172486</v>
      </c>
      <c r="T39" s="62">
        <f t="shared" si="34"/>
        <v>297.32483725004136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5.4</v>
      </c>
      <c r="AI39" s="14">
        <f>IF('Données projet'!$A$62&gt;35,AI38+AH39-AQ38,IF(A39&lt;'Données projet'!$A$62,$AF$205^A39,IF(A39='Données projet'!$A$62,'Données projet'!$B$62,AI38+AH39-AQ38)))</f>
        <v>65.400000000000034</v>
      </c>
      <c r="AJ39" s="14">
        <f>AI39*VLOOKUP('Données projet'!$B$10,Paramètres!$A$1:$I$89,3,0)*VLOOKUP('Données projet'!$B$10,Paramètres!$A$1:$I$89,5,0)</f>
        <v>63.254880000000036</v>
      </c>
      <c r="AK39" s="14">
        <f t="shared" si="35"/>
        <v>17.988657592553423</v>
      </c>
      <c r="AL39" s="22">
        <f t="shared" si="4"/>
        <v>141.49916130703059</v>
      </c>
      <c r="AM39" s="62">
        <f t="shared" si="5"/>
        <v>386.01157954806501</v>
      </c>
      <c r="AN39" s="62">
        <f ca="1">AVERAGE(OFFSET($AM$3,0,0,'Données projet'!$E$10+1,1))-AVERAGE(OFFSET($H$3,0,0,'Données projet'!$E$10+1,1))</f>
        <v>265.30115826265654</v>
      </c>
      <c r="AO39" s="62">
        <f t="shared" si="36"/>
        <v>187.99130270616999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5.4</v>
      </c>
      <c r="BD39" s="13">
        <f>IF('Données projet'!$A$88&gt;35,BD38+BC39-BL38,IF(A39&lt;'Données projet'!$A$88,$BA$205^A39,IF(A39='Données projet'!$A$88,'Données projet'!$B$88,BD38+BC39-BL38)))</f>
        <v>65.400000000000034</v>
      </c>
      <c r="BE39" s="14">
        <f>BD39*VLOOKUP('Données projet'!$B$11,Paramètres!$A$1:$I$89,3,0)*VLOOKUP('Données projet'!$B$11,Paramètres!$A$1:$I$89,5,0)</f>
        <v>70.396560000000036</v>
      </c>
      <c r="BF39" s="14">
        <f t="shared" si="37"/>
        <v>19.77190499424589</v>
      </c>
      <c r="BG39" s="22">
        <f t="shared" si="7"/>
        <v>157.04340986497832</v>
      </c>
      <c r="BH39" s="62">
        <f t="shared" si="8"/>
        <v>401.55582810601277</v>
      </c>
      <c r="BI39" s="62">
        <f ca="1">AVERAGE(OFFSET($BH$3,0,0,'Données projet'!$E$11+1,1))-AVERAGE(OFFSET($H$3,0,0,'Données projet'!$E$11+1,1))</f>
        <v>287.77879820226661</v>
      </c>
      <c r="BJ39" s="62">
        <f t="shared" si="38"/>
        <v>202.51334141855753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11.2</v>
      </c>
      <c r="N40" s="14">
        <f>IF('Données projet'!$A$36&gt;35,N39+M40-V39,IF(A40&lt;'Données projet'!$A$36,$K$205^A40,IF(A40='Données projet'!$A$36,'Données projet'!$B$36,N39+M40-V39)))</f>
        <v>141.40000000000003</v>
      </c>
      <c r="O40" s="14">
        <f>N40*VLOOKUP('Données projet'!$B$9,Paramètres!$A$1:$I$89,3,0)*VLOOKUP('Données projet'!$B$9,Paramètres!$A$1:$I$89,5,0)</f>
        <v>127.93872000000003</v>
      </c>
      <c r="P40" s="14">
        <f t="shared" si="33"/>
        <v>33.519615889545641</v>
      </c>
      <c r="Q40" s="22">
        <f t="shared" si="53"/>
        <v>281.20660167429202</v>
      </c>
      <c r="R40" s="62">
        <f t="shared" si="0"/>
        <v>526.56595364496309</v>
      </c>
      <c r="S40" s="62">
        <f ca="1">AVERAGE(OFFSET($R$3,0,0,'Données projet'!$E$9+1,1))-AVERAGE(OFFSET($H$3,0,0,'Données projet'!$E$9+1,1))</f>
        <v>435.66722289172486</v>
      </c>
      <c r="T40" s="62">
        <f t="shared" si="34"/>
        <v>297.32483725004136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5.4</v>
      </c>
      <c r="AI40" s="14">
        <f>IF('Données projet'!$A$62&gt;35,AI39+AH40-AQ39,IF(A40&lt;'Données projet'!$A$62,$AF$205^A40,IF(A40='Données projet'!$A$62,'Données projet'!$B$62,AI39+AH40-AQ39)))</f>
        <v>70.80000000000004</v>
      </c>
      <c r="AJ40" s="14">
        <f>AI40*VLOOKUP('Données projet'!$B$10,Paramètres!$A$1:$I$89,3,0)*VLOOKUP('Données projet'!$B$10,Paramètres!$A$1:$I$89,5,0)</f>
        <v>68.477760000000032</v>
      </c>
      <c r="AK40" s="14">
        <f t="shared" si="35"/>
        <v>19.294949369639685</v>
      </c>
      <c r="AL40" s="22">
        <f t="shared" si="4"/>
        <v>152.87080215212248</v>
      </c>
      <c r="AM40" s="62">
        <f t="shared" si="5"/>
        <v>398.23015412279358</v>
      </c>
      <c r="AN40" s="62">
        <f ca="1">AVERAGE(OFFSET($AM$3,0,0,'Données projet'!$E$10+1,1))-AVERAGE(OFFSET($H$3,0,0,'Données projet'!$E$10+1,1))</f>
        <v>265.30115826265654</v>
      </c>
      <c r="AO40" s="62">
        <f t="shared" si="36"/>
        <v>187.99130270616999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5.4</v>
      </c>
      <c r="BD40" s="13">
        <f>IF('Données projet'!$A$88&gt;35,BD39+BC40-BL39,IF(A40&lt;'Données projet'!$A$88,$BA$205^A40,IF(A40='Données projet'!$A$88,'Données projet'!$B$88,BD39+BC40-BL39)))</f>
        <v>70.80000000000004</v>
      </c>
      <c r="BE40" s="14">
        <f>BD40*VLOOKUP('Données projet'!$B$11,Paramètres!$A$1:$I$89,3,0)*VLOOKUP('Données projet'!$B$11,Paramètres!$A$1:$I$89,5,0)</f>
        <v>76.209120000000041</v>
      </c>
      <c r="BF40" s="14">
        <f t="shared" si="37"/>
        <v>21.207691782583336</v>
      </c>
      <c r="BG40" s="22">
        <f t="shared" si="7"/>
        <v>169.66761385466603</v>
      </c>
      <c r="BH40" s="62">
        <f t="shared" si="8"/>
        <v>415.02696582533713</v>
      </c>
      <c r="BI40" s="62">
        <f ca="1">AVERAGE(OFFSET($BH$3,0,0,'Données projet'!$E$11+1,1))-AVERAGE(OFFSET($H$3,0,0,'Données projet'!$E$11+1,1))</f>
        <v>287.77879820226661</v>
      </c>
      <c r="BJ40" s="62">
        <f t="shared" si="38"/>
        <v>202.51334141855753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11.2</v>
      </c>
      <c r="N41" s="14">
        <f>IF('Données projet'!$A$36&gt;35,N40+M41-V40,IF(A41&lt;'Données projet'!$A$36,$K$205^A41,IF(A41='Données projet'!$A$36,'Données projet'!$B$36,N40+M41-V40)))</f>
        <v>152.60000000000002</v>
      </c>
      <c r="O41" s="14">
        <f>N41*VLOOKUP('Données projet'!$B$9,Paramètres!$A$1:$I$89,3,0)*VLOOKUP('Données projet'!$B$9,Paramètres!$A$1:$I$89,5,0)</f>
        <v>138.07248000000001</v>
      </c>
      <c r="P41" s="14">
        <f t="shared" si="33"/>
        <v>35.85508207677799</v>
      </c>
      <c r="Q41" s="22">
        <f t="shared" si="53"/>
        <v>302.9238372837217</v>
      </c>
      <c r="R41" s="62">
        <f t="shared" si="0"/>
        <v>549.11543057728045</v>
      </c>
      <c r="S41" s="62">
        <f ca="1">AVERAGE(OFFSET($R$3,0,0,'Données projet'!$E$9+1,1))-AVERAGE(OFFSET($H$3,0,0,'Données projet'!$E$9+1,1))</f>
        <v>435.66722289172486</v>
      </c>
      <c r="T41" s="62">
        <f t="shared" si="34"/>
        <v>297.32483725004136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5.4</v>
      </c>
      <c r="AI41" s="14">
        <f>IF('Données projet'!$A$62&gt;35,AI40+AH41-AQ40,IF(A41&lt;'Données projet'!$A$62,$AF$205^A41,IF(A41='Données projet'!$A$62,'Données projet'!$B$62,AI40+AH41-AQ40)))</f>
        <v>76.200000000000045</v>
      </c>
      <c r="AJ41" s="14">
        <f>AI41*VLOOKUP('Données projet'!$B$10,Paramètres!$A$1:$I$89,3,0)*VLOOKUP('Données projet'!$B$10,Paramètres!$A$1:$I$89,5,0)</f>
        <v>73.70064000000005</v>
      </c>
      <c r="AK41" s="14">
        <f t="shared" si="35"/>
        <v>20.58968343836661</v>
      </c>
      <c r="AL41" s="22">
        <f t="shared" si="4"/>
        <v>164.22231332182193</v>
      </c>
      <c r="AM41" s="62">
        <f t="shared" si="5"/>
        <v>410.41390661538065</v>
      </c>
      <c r="AN41" s="62">
        <f ca="1">AVERAGE(OFFSET($AM$3,0,0,'Données projet'!$E$10+1,1))-AVERAGE(OFFSET($H$3,0,0,'Données projet'!$E$10+1,1))</f>
        <v>265.30115826265654</v>
      </c>
      <c r="AO41" s="62">
        <f t="shared" si="36"/>
        <v>187.99130270616999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5.4</v>
      </c>
      <c r="BD41" s="13">
        <f>IF('Données projet'!$A$88&gt;35,BD40+BC41-BL40,IF(A41&lt;'Données projet'!$A$88,$BA$205^A41,IF(A41='Données projet'!$A$88,'Données projet'!$B$88,BD40+BC41-BL40)))</f>
        <v>76.200000000000045</v>
      </c>
      <c r="BE41" s="14">
        <f>BD41*VLOOKUP('Données projet'!$B$11,Paramètres!$A$1:$I$89,3,0)*VLOOKUP('Données projet'!$B$11,Paramètres!$A$1:$I$89,5,0)</f>
        <v>82.021680000000046</v>
      </c>
      <c r="BF41" s="14">
        <f t="shared" si="37"/>
        <v>22.630775126516646</v>
      </c>
      <c r="BG41" s="22">
        <f t="shared" si="7"/>
        <v>182.26969267868321</v>
      </c>
      <c r="BH41" s="62">
        <f t="shared" si="8"/>
        <v>428.46128597224197</v>
      </c>
      <c r="BI41" s="62">
        <f ca="1">AVERAGE(OFFSET($BH$3,0,0,'Données projet'!$E$11+1,1))-AVERAGE(OFFSET($H$3,0,0,'Données projet'!$E$11+1,1))</f>
        <v>287.77879820226661</v>
      </c>
      <c r="BJ41" s="62">
        <f t="shared" si="38"/>
        <v>202.51334141855753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11.2</v>
      </c>
      <c r="N42" s="14">
        <f>IF('Données projet'!$A$36&gt;35,N41+M42-V41,IF(A42&lt;'Données projet'!$A$36,$K$205^A42,IF(A42='Données projet'!$A$36,'Données projet'!$B$36,N41+M42-V41)))</f>
        <v>163.80000000000001</v>
      </c>
      <c r="O42" s="14">
        <f>N42*VLOOKUP('Données projet'!$B$9,Paramètres!$A$1:$I$89,3,0)*VLOOKUP('Données projet'!$B$9,Paramètres!$A$1:$I$89,5,0)</f>
        <v>148.20624000000001</v>
      </c>
      <c r="P42" s="14">
        <f t="shared" si="33"/>
        <v>38.170662245893794</v>
      </c>
      <c r="Q42" s="22">
        <f t="shared" si="53"/>
        <v>324.60643807826506</v>
      </c>
      <c r="R42" s="62">
        <f t="shared" si="0"/>
        <v>571.6158351683722</v>
      </c>
      <c r="S42" s="62">
        <f ca="1">AVERAGE(OFFSET($R$3,0,0,'Données projet'!$E$9+1,1))-AVERAGE(OFFSET($H$3,0,0,'Données projet'!$E$9+1,1))</f>
        <v>435.66722289172486</v>
      </c>
      <c r="T42" s="62">
        <f t="shared" si="34"/>
        <v>297.32483725004136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5.4</v>
      </c>
      <c r="AI42" s="14">
        <f>IF('Données projet'!$A$62&gt;35,AI41+AH42-AQ41,IF(A42&lt;'Données projet'!$A$62,$AF$205^A42,IF(A42='Données projet'!$A$62,'Données projet'!$B$62,AI41+AH42-AQ41)))</f>
        <v>81.600000000000051</v>
      </c>
      <c r="AJ42" s="14">
        <f>AI42*VLOOKUP('Données projet'!$B$10,Paramètres!$A$1:$I$89,3,0)*VLOOKUP('Données projet'!$B$10,Paramètres!$A$1:$I$89,5,0)</f>
        <v>78.923520000000053</v>
      </c>
      <c r="AK42" s="14">
        <f t="shared" si="35"/>
        <v>21.873772006672663</v>
      </c>
      <c r="AL42" s="22">
        <f t="shared" si="4"/>
        <v>175.55528357828828</v>
      </c>
      <c r="AM42" s="62">
        <f t="shared" si="5"/>
        <v>422.5646806683954</v>
      </c>
      <c r="AN42" s="62">
        <f ca="1">AVERAGE(OFFSET($AM$3,0,0,'Données projet'!$E$10+1,1))-AVERAGE(OFFSET($H$3,0,0,'Données projet'!$E$10+1,1))</f>
        <v>265.30115826265654</v>
      </c>
      <c r="AO42" s="62">
        <f t="shared" si="36"/>
        <v>187.99130270616999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5.4</v>
      </c>
      <c r="BD42" s="13">
        <f>IF('Données projet'!$A$88&gt;35,BD41+BC42-BL41,IF(A42&lt;'Données projet'!$A$88,$BA$205^A42,IF(A42='Données projet'!$A$88,'Données projet'!$B$88,BD41+BC42-BL41)))</f>
        <v>81.600000000000051</v>
      </c>
      <c r="BE42" s="14">
        <f>BD42*VLOOKUP('Données projet'!$B$11,Paramètres!$A$1:$I$89,3,0)*VLOOKUP('Données projet'!$B$11,Paramètres!$A$1:$I$89,5,0)</f>
        <v>87.834240000000051</v>
      </c>
      <c r="BF42" s="14">
        <f t="shared" si="37"/>
        <v>24.042157662768517</v>
      </c>
      <c r="BG42" s="22">
        <f t="shared" si="7"/>
        <v>194.85139259598859</v>
      </c>
      <c r="BH42" s="62">
        <f t="shared" si="8"/>
        <v>441.8607896860957</v>
      </c>
      <c r="BI42" s="62">
        <f ca="1">AVERAGE(OFFSET($BH$3,0,0,'Données projet'!$E$11+1,1))-AVERAGE(OFFSET($H$3,0,0,'Données projet'!$E$11+1,1))</f>
        <v>287.77879820226661</v>
      </c>
      <c r="BJ42" s="62">
        <f t="shared" si="38"/>
        <v>202.51334141855753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175</v>
      </c>
      <c r="L43" s="13">
        <f>VLOOKUP(A43,'Données projet'!$A$35:$I$55,9,0)</f>
        <v>11.2</v>
      </c>
      <c r="M43" s="13">
        <f t="array" ref="M43">INDEX(L:L,MIN(IF(ISNUMBER(L43:L239),ROW(L43:L239),"")))</f>
        <v>11.2</v>
      </c>
      <c r="N43" s="14">
        <f>IF('Données projet'!$A$36&gt;35,N42+M43-V42,IF(A43&lt;'Données projet'!$A$36,$K$205^A43,IF(A43='Données projet'!$A$36,'Données projet'!$B$36,N42+M43-V42)))</f>
        <v>175</v>
      </c>
      <c r="O43" s="14">
        <f>N43*VLOOKUP('Données projet'!$B$9,Paramètres!$A$1:$I$89,3,0)*VLOOKUP('Données projet'!$B$9,Paramètres!$A$1:$I$89,5,0)</f>
        <v>158.34</v>
      </c>
      <c r="P43" s="14">
        <f t="shared" si="33"/>
        <v>40.467870812652819</v>
      </c>
      <c r="Q43" s="22">
        <f t="shared" si="53"/>
        <v>346.25704166537031</v>
      </c>
      <c r="R43" s="62">
        <f t="shared" si="0"/>
        <v>594.07005548449115</v>
      </c>
      <c r="S43" s="62">
        <f ca="1">AVERAGE(OFFSET($R$3,0,0,'Données projet'!$E$9+1,1))-AVERAGE(OFFSET($H$3,0,0,'Données projet'!$E$9+1,1))</f>
        <v>435.66722289172486</v>
      </c>
      <c r="T43" s="62">
        <f t="shared" si="34"/>
        <v>297.32483725004136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28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8.6000000000000007E-2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2.3990694849577223</v>
      </c>
      <c r="AB43" s="23">
        <f>EXP(-LN(2)/2)*AB42+(1-EXP(-LN(2)/2))/(LN(2)/2)*V43*Y43*VLOOKUP('Données projet'!$B$9,Paramètres!$A$1:$I$89,3,0)*0.475*44/12</f>
        <v>0</v>
      </c>
      <c r="AC43" s="24">
        <f t="shared" si="3"/>
        <v>2.3990694849577223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87</v>
      </c>
      <c r="AG43" s="13">
        <f>VLOOKUP(A43,'Données projet'!$A$61:$I$81,9,0)</f>
        <v>5.4</v>
      </c>
      <c r="AH43" s="13">
        <f t="array" ref="AH43">INDEX(AG:AG,MIN(IF(ISNUMBER(AG43:AG239),ROW(AG43:AG239),"")))</f>
        <v>5.4</v>
      </c>
      <c r="AI43" s="14">
        <f>IF('Données projet'!$A$62&gt;35,AI42+AH43-AQ42,IF(A43&lt;'Données projet'!$A$62,$AF$205^A43,IF(A43='Données projet'!$A$62,'Données projet'!$B$62,AI42+AH43-AQ42)))</f>
        <v>87.000000000000057</v>
      </c>
      <c r="AJ43" s="14">
        <f>AI43*VLOOKUP('Données projet'!$B$10,Paramètres!$A$1:$I$89,3,0)*VLOOKUP('Données projet'!$B$10,Paramètres!$A$1:$I$89,5,0)</f>
        <v>84.146400000000057</v>
      </c>
      <c r="AK43" s="14">
        <f t="shared" si="35"/>
        <v>23.147999719561462</v>
      </c>
      <c r="AL43" s="22">
        <f t="shared" si="4"/>
        <v>186.87107951156963</v>
      </c>
      <c r="AM43" s="62">
        <f t="shared" si="5"/>
        <v>434.68409333069042</v>
      </c>
      <c r="AN43" s="62">
        <f ca="1">AVERAGE(OFFSET($AM$3,0,0,'Données projet'!$E$10+1,1))-AVERAGE(OFFSET($H$3,0,0,'Données projet'!$E$10+1,1))</f>
        <v>265.30115826265654</v>
      </c>
      <c r="AO43" s="62">
        <f t="shared" si="36"/>
        <v>187.99130270616999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14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87</v>
      </c>
      <c r="BB43" s="13">
        <f>VLOOKUP(A43,'Données projet'!$A$87:$I$107,9,0)</f>
        <v>5.4</v>
      </c>
      <c r="BC43" s="13">
        <f t="array" ref="BC43">INDEX(BB:BB,MIN(IF(ISNUMBER(BB43:BB239),ROW(BB43:BB239),"")))</f>
        <v>5.4</v>
      </c>
      <c r="BD43" s="13">
        <f>IF('Données projet'!$A$88&gt;35,BD42+BC43-BL42,IF(A43&lt;'Données projet'!$A$88,$BA$205^A43,IF(A43='Données projet'!$A$88,'Données projet'!$B$88,BD42+BC43-BL42)))</f>
        <v>87.000000000000057</v>
      </c>
      <c r="BE43" s="14">
        <f>BD43*VLOOKUP('Données projet'!$B$11,Paramètres!$A$1:$I$89,3,0)*VLOOKUP('Données projet'!$B$11,Paramètres!$A$1:$I$89,5,0)</f>
        <v>93.646800000000056</v>
      </c>
      <c r="BF43" s="14">
        <f t="shared" si="37"/>
        <v>25.442701819587722</v>
      </c>
      <c r="BG43" s="22">
        <f t="shared" si="7"/>
        <v>207.41421566911538</v>
      </c>
      <c r="BH43" s="62">
        <f t="shared" si="8"/>
        <v>455.22722948823616</v>
      </c>
      <c r="BI43" s="62">
        <f ca="1">AVERAGE(OFFSET($BH$3,0,0,'Données projet'!$E$11+1,1))-AVERAGE(OFFSET($H$3,0,0,'Données projet'!$E$11+1,1))</f>
        <v>287.77879820226661</v>
      </c>
      <c r="BJ43" s="62">
        <f t="shared" si="38"/>
        <v>202.51334141855753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14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11.4</v>
      </c>
      <c r="N44" s="14">
        <f>IF('Données projet'!$A$36&gt;35,N43+M44-V43,IF(A44&lt;'Données projet'!$A$36,$K$205^A44,IF(A44='Données projet'!$A$36,'Données projet'!$B$36,N43+M44-V43)))</f>
        <v>158.4</v>
      </c>
      <c r="O44" s="14">
        <f>N44*VLOOKUP('Données projet'!$B$9,Paramètres!$A$1:$I$89,3,0)*VLOOKUP('Données projet'!$B$9,Paramètres!$A$1:$I$89,5,0)</f>
        <v>143.32032000000001</v>
      </c>
      <c r="P44" s="14">
        <f t="shared" si="33"/>
        <v>37.056603420232349</v>
      </c>
      <c r="Q44" s="22">
        <f t="shared" si="53"/>
        <v>314.15647495690467</v>
      </c>
      <c r="R44" s="62">
        <f t="shared" si="0"/>
        <v>562.75916455140862</v>
      </c>
      <c r="S44" s="62">
        <f ca="1">AVERAGE(OFFSET($R$3,0,0,'Données projet'!$E$9+1,1))-AVERAGE(OFFSET($H$3,0,0,'Données projet'!$E$9+1,1))</f>
        <v>435.66722289172486</v>
      </c>
      <c r="T44" s="62">
        <f t="shared" si="34"/>
        <v>297.32483725004136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2.3334668037299724</v>
      </c>
      <c r="AB44" s="23">
        <f>EXP(-LN(2)/2)*AB43+(1-EXP(-LN(2)/2))/(LN(2)/2)*V44*Y44*VLOOKUP('Données projet'!$B$9,Paramètres!$A$1:$I$89,3,0)*0.475*44/12</f>
        <v>0</v>
      </c>
      <c r="AC44" s="24">
        <f t="shared" si="3"/>
        <v>2.3334668037299724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5.8</v>
      </c>
      <c r="AI44" s="14">
        <f>IF('Données projet'!$A$62&gt;35,AI43+AH44-AQ43,IF(A44&lt;'Données projet'!$A$62,$AF$205^A44,IF(A44='Données projet'!$A$62,'Données projet'!$B$62,AI43+AH44-AQ43)))</f>
        <v>78.800000000000054</v>
      </c>
      <c r="AJ44" s="14">
        <f>AI44*VLOOKUP('Données projet'!$B$10,Paramètres!$A$1:$I$89,3,0)*VLOOKUP('Données projet'!$B$10,Paramètres!$A$1:$I$89,5,0)</f>
        <v>76.215360000000047</v>
      </c>
      <c r="AK44" s="14">
        <f t="shared" si="35"/>
        <v>21.209226133452262</v>
      </c>
      <c r="AL44" s="22">
        <f t="shared" si="4"/>
        <v>169.68115418242942</v>
      </c>
      <c r="AM44" s="62">
        <f t="shared" si="5"/>
        <v>418.2838437769334</v>
      </c>
      <c r="AN44" s="62">
        <f ca="1">AVERAGE(OFFSET($AM$3,0,0,'Données projet'!$E$10+1,1))-AVERAGE(OFFSET($H$3,0,0,'Données projet'!$E$10+1,1))</f>
        <v>265.30115826265654</v>
      </c>
      <c r="AO44" s="62">
        <f t="shared" si="36"/>
        <v>187.99130270616999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5.8</v>
      </c>
      <c r="BD44" s="13">
        <f>IF('Données projet'!$A$88&gt;35,BD43+BC44-BL43,IF(A44&lt;'Données projet'!$A$88,$BA$205^A44,IF(A44='Données projet'!$A$88,'Données projet'!$B$88,BD43+BC44-BL43)))</f>
        <v>78.800000000000054</v>
      </c>
      <c r="BE44" s="14">
        <f>BD44*VLOOKUP('Données projet'!$B$11,Paramètres!$A$1:$I$89,3,0)*VLOOKUP('Données projet'!$B$11,Paramètres!$A$1:$I$89,5,0)</f>
        <v>84.820320000000052</v>
      </c>
      <c r="BF44" s="14">
        <f t="shared" si="37"/>
        <v>23.311734183304917</v>
      </c>
      <c r="BG44" s="22">
        <f t="shared" si="7"/>
        <v>188.32999436925616</v>
      </c>
      <c r="BH44" s="62">
        <f t="shared" si="8"/>
        <v>436.93268396376016</v>
      </c>
      <c r="BI44" s="62">
        <f ca="1">AVERAGE(OFFSET($BH$3,0,0,'Données projet'!$E$11+1,1))-AVERAGE(OFFSET($H$3,0,0,'Données projet'!$E$11+1,1))</f>
        <v>287.77879820226661</v>
      </c>
      <c r="BJ44" s="62">
        <f t="shared" si="38"/>
        <v>202.51334141855753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11.4</v>
      </c>
      <c r="N45" s="14">
        <f>IF('Données projet'!$A$36&gt;35,N44+M45-V44,IF(A45&lt;'Données projet'!$A$36,$K$205^A45,IF(A45='Données projet'!$A$36,'Données projet'!$B$36,N44+M45-V44)))</f>
        <v>169.8</v>
      </c>
      <c r="O45" s="14">
        <f>N45*VLOOKUP('Données projet'!$B$9,Paramètres!$A$1:$I$89,3,0)*VLOOKUP('Données projet'!$B$9,Paramètres!$A$1:$I$89,5,0)</f>
        <v>153.63504</v>
      </c>
      <c r="P45" s="14">
        <f t="shared" si="33"/>
        <v>39.403506785222667</v>
      </c>
      <c r="Q45" s="22">
        <f t="shared" si="53"/>
        <v>336.20880231759617</v>
      </c>
      <c r="R45" s="62">
        <f t="shared" si="0"/>
        <v>585.58746857823087</v>
      </c>
      <c r="S45" s="62">
        <f ca="1">AVERAGE(OFFSET($R$3,0,0,'Données projet'!$E$9+1,1))-AVERAGE(OFFSET($H$3,0,0,'Données projet'!$E$9+1,1))</f>
        <v>435.66722289172486</v>
      </c>
      <c r="T45" s="62">
        <f t="shared" si="34"/>
        <v>297.32483725004136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2.2696580312702901</v>
      </c>
      <c r="AB45" s="23">
        <f>EXP(-LN(2)/2)*AB44+(1-EXP(-LN(2)/2))/(LN(2)/2)*V45*Y45*VLOOKUP('Données projet'!$B$9,Paramètres!$A$1:$I$89,3,0)*0.475*44/12</f>
        <v>0</v>
      </c>
      <c r="AC45" s="24">
        <f t="shared" si="3"/>
        <v>2.2696580312702901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5.8</v>
      </c>
      <c r="AI45" s="14">
        <f>IF('Données projet'!$A$62&gt;35,AI44+AH45-AQ44,IF(A45&lt;'Données projet'!$A$62,$AF$205^A45,IF(A45='Données projet'!$A$62,'Données projet'!$B$62,AI44+AH45-AQ44)))</f>
        <v>84.600000000000051</v>
      </c>
      <c r="AJ45" s="14">
        <f>AI45*VLOOKUP('Données projet'!$B$10,Paramètres!$A$1:$I$89,3,0)*VLOOKUP('Données projet'!$B$10,Paramètres!$A$1:$I$89,5,0)</f>
        <v>81.825120000000055</v>
      </c>
      <c r="AK45" s="14">
        <f t="shared" si="35"/>
        <v>22.58284790619167</v>
      </c>
      <c r="AL45" s="22">
        <f t="shared" si="4"/>
        <v>181.84387743661728</v>
      </c>
      <c r="AM45" s="62">
        <f t="shared" si="5"/>
        <v>431.22254369725204</v>
      </c>
      <c r="AN45" s="62">
        <f ca="1">AVERAGE(OFFSET($AM$3,0,0,'Données projet'!$E$10+1,1))-AVERAGE(OFFSET($H$3,0,0,'Données projet'!$E$10+1,1))</f>
        <v>265.30115826265654</v>
      </c>
      <c r="AO45" s="62">
        <f t="shared" si="36"/>
        <v>187.99130270616999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5.8</v>
      </c>
      <c r="BD45" s="13">
        <f>IF('Données projet'!$A$88&gt;35,BD44+BC45-BL44,IF(A45&lt;'Données projet'!$A$88,$BA$205^A45,IF(A45='Données projet'!$A$88,'Données projet'!$B$88,BD44+BC45-BL44)))</f>
        <v>84.600000000000051</v>
      </c>
      <c r="BE45" s="14">
        <f>BD45*VLOOKUP('Données projet'!$B$11,Paramètres!$A$1:$I$89,3,0)*VLOOKUP('Données projet'!$B$11,Paramètres!$A$1:$I$89,5,0)</f>
        <v>91.063440000000057</v>
      </c>
      <c r="BF45" s="14">
        <f t="shared" si="37"/>
        <v>24.821525508693991</v>
      </c>
      <c r="BG45" s="22">
        <f t="shared" si="7"/>
        <v>201.83298159430879</v>
      </c>
      <c r="BH45" s="62">
        <f t="shared" si="8"/>
        <v>451.21164785494352</v>
      </c>
      <c r="BI45" s="62">
        <f ca="1">AVERAGE(OFFSET($BH$3,0,0,'Données projet'!$E$11+1,1))-AVERAGE(OFFSET($H$3,0,0,'Données projet'!$E$11+1,1))</f>
        <v>287.77879820226661</v>
      </c>
      <c r="BJ45" s="62">
        <f t="shared" si="38"/>
        <v>202.51334141855753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11.4</v>
      </c>
      <c r="N46" s="14">
        <f>IF('Données projet'!$A$36&gt;35,N45+M46-V45,IF(A46&lt;'Données projet'!$A$36,$K$205^A46,IF(A46='Données projet'!$A$36,'Données projet'!$B$36,N45+M46-V45)))</f>
        <v>181.20000000000002</v>
      </c>
      <c r="O46" s="14">
        <f>N46*VLOOKUP('Données projet'!$B$9,Paramètres!$A$1:$I$89,3,0)*VLOOKUP('Données projet'!$B$9,Paramètres!$A$1:$I$89,5,0)</f>
        <v>163.94976</v>
      </c>
      <c r="P46" s="14">
        <f t="shared" si="33"/>
        <v>41.732126457893308</v>
      </c>
      <c r="Q46" s="22">
        <f t="shared" si="53"/>
        <v>358.22928558083089</v>
      </c>
      <c r="R46" s="62">
        <f t="shared" si="0"/>
        <v>608.37046704726299</v>
      </c>
      <c r="S46" s="62">
        <f ca="1">AVERAGE(OFFSET($R$3,0,0,'Données projet'!$E$9+1,1))-AVERAGE(OFFSET($H$3,0,0,'Données projet'!$E$9+1,1))</f>
        <v>435.66722289172486</v>
      </c>
      <c r="T46" s="62">
        <f t="shared" si="34"/>
        <v>297.32483725004136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2.2075941130490757</v>
      </c>
      <c r="AB46" s="23">
        <f>EXP(-LN(2)/2)*AB45+(1-EXP(-LN(2)/2))/(LN(2)/2)*V46*Y46*VLOOKUP('Données projet'!$B$9,Paramètres!$A$1:$I$89,3,0)*0.475*44/12</f>
        <v>0</v>
      </c>
      <c r="AC46" s="24">
        <f t="shared" si="3"/>
        <v>2.2075941130490757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5.8</v>
      </c>
      <c r="AI46" s="14">
        <f>IF('Données projet'!$A$62&gt;35,AI45+AH46-AQ45,IF(A46&lt;'Données projet'!$A$62,$AF$205^A46,IF(A46='Données projet'!$A$62,'Données projet'!$B$62,AI45+AH46-AQ45)))</f>
        <v>90.400000000000048</v>
      </c>
      <c r="AJ46" s="14">
        <f>AI46*VLOOKUP('Données projet'!$B$10,Paramètres!$A$1:$I$89,3,0)*VLOOKUP('Données projet'!$B$10,Paramètres!$A$1:$I$89,5,0)</f>
        <v>87.434880000000049</v>
      </c>
      <c r="AK46" s="14">
        <f t="shared" si="35"/>
        <v>23.945542571874331</v>
      </c>
      <c r="AL46" s="22">
        <f t="shared" si="4"/>
        <v>193.98756931268122</v>
      </c>
      <c r="AM46" s="62">
        <f t="shared" si="5"/>
        <v>444.12875077911326</v>
      </c>
      <c r="AN46" s="62">
        <f ca="1">AVERAGE(OFFSET($AM$3,0,0,'Données projet'!$E$10+1,1))-AVERAGE(OFFSET($H$3,0,0,'Données projet'!$E$10+1,1))</f>
        <v>265.30115826265654</v>
      </c>
      <c r="AO46" s="62">
        <f t="shared" si="36"/>
        <v>187.99130270616999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5.8</v>
      </c>
      <c r="BD46" s="13">
        <f>IF('Données projet'!$A$88&gt;35,BD45+BC46-BL45,IF(A46&lt;'Données projet'!$A$88,$BA$205^A46,IF(A46='Données projet'!$A$88,'Données projet'!$B$88,BD45+BC46-BL45)))</f>
        <v>90.400000000000048</v>
      </c>
      <c r="BE46" s="14">
        <f>BD46*VLOOKUP('Données projet'!$B$11,Paramètres!$A$1:$I$89,3,0)*VLOOKUP('Données projet'!$B$11,Paramètres!$A$1:$I$89,5,0)</f>
        <v>97.306560000000047</v>
      </c>
      <c r="BF46" s="14">
        <f t="shared" si="37"/>
        <v>26.319306503602501</v>
      </c>
      <c r="BG46" s="22">
        <f t="shared" si="7"/>
        <v>215.31505082710774</v>
      </c>
      <c r="BH46" s="62">
        <f t="shared" si="8"/>
        <v>465.45623229353976</v>
      </c>
      <c r="BI46" s="62">
        <f ca="1">AVERAGE(OFFSET($BH$3,0,0,'Données projet'!$E$11+1,1))-AVERAGE(OFFSET($H$3,0,0,'Données projet'!$E$11+1,1))</f>
        <v>287.77879820226661</v>
      </c>
      <c r="BJ46" s="62">
        <f t="shared" si="38"/>
        <v>202.51334141855753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11.4</v>
      </c>
      <c r="N47" s="14">
        <f>IF('Données projet'!$A$36&gt;35,N46+M47-V46,IF(A47&lt;'Données projet'!$A$36,$K$205^A47,IF(A47='Données projet'!$A$36,'Données projet'!$B$36,N46+M47-V46)))</f>
        <v>192.60000000000002</v>
      </c>
      <c r="O47" s="14">
        <f>N47*VLOOKUP('Données projet'!$B$9,Paramètres!$A$1:$I$89,3,0)*VLOOKUP('Données projet'!$B$9,Paramètres!$A$1:$I$89,5,0)</f>
        <v>174.26447999999999</v>
      </c>
      <c r="P47" s="14">
        <f t="shared" si="33"/>
        <v>44.043743683739521</v>
      </c>
      <c r="Q47" s="22">
        <f t="shared" si="53"/>
        <v>380.22015624917964</v>
      </c>
      <c r="R47" s="62">
        <f t="shared" si="0"/>
        <v>631.11062498731712</v>
      </c>
      <c r="S47" s="62">
        <f ca="1">AVERAGE(OFFSET($R$3,0,0,'Données projet'!$E$9+1,1))-AVERAGE(OFFSET($H$3,0,0,'Données projet'!$E$9+1,1))</f>
        <v>435.66722289172486</v>
      </c>
      <c r="T47" s="62">
        <f t="shared" si="34"/>
        <v>297.32483725004136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2.1472273359354199</v>
      </c>
      <c r="AB47" s="23">
        <f>EXP(-LN(2)/2)*AB46+(1-EXP(-LN(2)/2))/(LN(2)/2)*V47*Y47*VLOOKUP('Données projet'!$B$9,Paramètres!$A$1:$I$89,3,0)*0.475*44/12</f>
        <v>0</v>
      </c>
      <c r="AC47" s="24">
        <f t="shared" si="3"/>
        <v>2.1472273359354199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5.8</v>
      </c>
      <c r="AI47" s="14">
        <f>IF('Données projet'!$A$62&gt;35,AI46+AH47-AQ46,IF(A47&lt;'Données projet'!$A$62,$AF$205^A47,IF(A47='Données projet'!$A$62,'Données projet'!$B$62,AI46+AH47-AQ46)))</f>
        <v>96.200000000000045</v>
      </c>
      <c r="AJ47" s="14">
        <f>AI47*VLOOKUP('Données projet'!$B$10,Paramètres!$A$1:$I$89,3,0)*VLOOKUP('Données projet'!$B$10,Paramètres!$A$1:$I$89,5,0)</f>
        <v>93.044640000000044</v>
      </c>
      <c r="AK47" s="14">
        <f t="shared" si="35"/>
        <v>25.29809100128708</v>
      </c>
      <c r="AL47" s="22">
        <f t="shared" si="4"/>
        <v>206.11358982724173</v>
      </c>
      <c r="AM47" s="62">
        <f t="shared" si="5"/>
        <v>457.00405856537918</v>
      </c>
      <c r="AN47" s="62">
        <f ca="1">AVERAGE(OFFSET($AM$3,0,0,'Données projet'!$E$10+1,1))-AVERAGE(OFFSET($H$3,0,0,'Données projet'!$E$10+1,1))</f>
        <v>265.30115826265654</v>
      </c>
      <c r="AO47" s="62">
        <f t="shared" si="36"/>
        <v>187.99130270616999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5.8</v>
      </c>
      <c r="BD47" s="13">
        <f>IF('Données projet'!$A$88&gt;35,BD46+BC47-BL46,IF(A47&lt;'Données projet'!$A$88,$BA$205^A47,IF(A47='Données projet'!$A$88,'Données projet'!$B$88,BD46+BC47-BL46)))</f>
        <v>96.200000000000045</v>
      </c>
      <c r="BE47" s="14">
        <f>BD47*VLOOKUP('Données projet'!$B$11,Paramètres!$A$1:$I$89,3,0)*VLOOKUP('Données projet'!$B$11,Paramètres!$A$1:$I$89,5,0)</f>
        <v>103.54968000000005</v>
      </c>
      <c r="BF47" s="14">
        <f t="shared" si="37"/>
        <v>27.805935447917669</v>
      </c>
      <c r="BG47" s="22">
        <f t="shared" si="7"/>
        <v>228.77769690512335</v>
      </c>
      <c r="BH47" s="62">
        <f t="shared" si="8"/>
        <v>479.66816564326075</v>
      </c>
      <c r="BI47" s="62">
        <f ca="1">AVERAGE(OFFSET($BH$3,0,0,'Données projet'!$E$11+1,1))-AVERAGE(OFFSET($H$3,0,0,'Données projet'!$E$11+1,1))</f>
        <v>287.77879820226661</v>
      </c>
      <c r="BJ47" s="62">
        <f t="shared" si="38"/>
        <v>202.51334141855753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204</v>
      </c>
      <c r="L48" s="13">
        <f>VLOOKUP(A48,'Données projet'!$A$35:$I$55,9,0)</f>
        <v>11.4</v>
      </c>
      <c r="M48" s="13">
        <f t="array" ref="M48">INDEX(L:L,MIN(IF(ISNUMBER(L48:L244),ROW(L48:L244),"")))</f>
        <v>11.4</v>
      </c>
      <c r="N48" s="14">
        <f>IF('Données projet'!$A$36&gt;35,N47+M48-V47,IF(A48&lt;'Données projet'!$A$36,$K$205^A48,IF(A48='Données projet'!$A$36,'Données projet'!$B$36,N47+M48-V47)))</f>
        <v>204.00000000000003</v>
      </c>
      <c r="O48" s="14">
        <f>N48*VLOOKUP('Données projet'!$B$9,Paramètres!$A$1:$I$89,3,0)*VLOOKUP('Données projet'!$B$9,Paramètres!$A$1:$I$89,5,0)</f>
        <v>184.57920000000001</v>
      </c>
      <c r="P48" s="14">
        <f t="shared" si="33"/>
        <v>46.339479465836661</v>
      </c>
      <c r="Q48" s="22">
        <f t="shared" si="53"/>
        <v>402.18336673633218</v>
      </c>
      <c r="R48" s="62">
        <f t="shared" si="0"/>
        <v>653.81012428716633</v>
      </c>
      <c r="S48" s="62">
        <f ca="1">AVERAGE(OFFSET($R$3,0,0,'Données projet'!$E$9+1,1))-AVERAGE(OFFSET($H$3,0,0,'Données projet'!$E$9+1,1))</f>
        <v>435.66722289172486</v>
      </c>
      <c r="T48" s="62">
        <f t="shared" si="34"/>
        <v>297.32483725004136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28</v>
      </c>
      <c r="W48" s="17">
        <f>IF(ISNA(VLOOKUP(A48,'Données projet'!$A$35:$I$55,5,0)),0%,VLOOKUP(A48,'Données projet'!$A$35:$I$55,5,0)*VLOOKUP('Données projet'!$B$9,Paramètres!$A$1:$I$89,7,0))</f>
        <v>0.25800000000000001</v>
      </c>
      <c r="X48" s="17">
        <f>IF(ISNA(VLOOKUP(A48,'Données projet'!$A$35:$I$55,6,0)),0%,VLOOKUP(A48,'Données projet'!$A$35:$I$55,6,0)*VLOOKUP('Données projet'!$B$9,Paramètres!$A$1:$I$89,7,0))</f>
        <v>0.17200000000000001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7.2256586260758091</v>
      </c>
      <c r="AA48" s="23">
        <f>EXP(-LN(2)/25)*AA47+(1-EXP(-LN(2)/25))/(LN(2)/25)*Calculateur!V48*Calculateur!X48*VLOOKUP('Données projet'!$B$9,Paramètres!$A$1:$I$89,3,0)*0.475*44/12</f>
        <v>6.8866502614319325</v>
      </c>
      <c r="AB48" s="23">
        <f>EXP(-LN(2)/2)*AB47+(1-EXP(-LN(2)/2))/(LN(2)/2)*V48*Y48*VLOOKUP('Données projet'!$B$9,Paramètres!$A$1:$I$89,3,0)*0.475*44/12</f>
        <v>0</v>
      </c>
      <c r="AC48" s="24">
        <f t="shared" si="3"/>
        <v>14.112308887507741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102</v>
      </c>
      <c r="AG48" s="13">
        <f>VLOOKUP(A48,'Données projet'!$A$61:$I$81,9,0)</f>
        <v>5.8</v>
      </c>
      <c r="AH48" s="13">
        <f t="array" ref="AH48">INDEX(AG:AG,MIN(IF(ISNUMBER(AG48:AG244),ROW(AG48:AG244),"")))</f>
        <v>5.8</v>
      </c>
      <c r="AI48" s="14">
        <f>IF('Données projet'!$A$62&gt;35,AI47+AH48-AQ47,IF(A48&lt;'Données projet'!$A$62,$AF$205^A48,IF(A48='Données projet'!$A$62,'Données projet'!$B$62,AI47+AH48-AQ47)))</f>
        <v>102.00000000000004</v>
      </c>
      <c r="AJ48" s="14">
        <f>AI48*VLOOKUP('Données projet'!$B$10,Paramètres!$A$1:$I$89,3,0)*VLOOKUP('Données projet'!$B$10,Paramètres!$A$1:$I$89,5,0)</f>
        <v>98.654400000000038</v>
      </c>
      <c r="AK48" s="14">
        <f t="shared" si="35"/>
        <v>26.641174586135595</v>
      </c>
      <c r="AL48" s="22">
        <f t="shared" si="4"/>
        <v>218.22312573751955</v>
      </c>
      <c r="AM48" s="62">
        <f t="shared" si="5"/>
        <v>469.84988328835368</v>
      </c>
      <c r="AN48" s="62">
        <f ca="1">AVERAGE(OFFSET($AM$3,0,0,'Données projet'!$E$10+1,1))-AVERAGE(OFFSET($H$3,0,0,'Données projet'!$E$10+1,1))</f>
        <v>265.30115826265654</v>
      </c>
      <c r="AO48" s="62">
        <f t="shared" si="36"/>
        <v>187.99130270616999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14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102</v>
      </c>
      <c r="BB48" s="13">
        <f>VLOOKUP(A48,'Données projet'!$A$87:$I$107,9,0)</f>
        <v>5.8</v>
      </c>
      <c r="BC48" s="13">
        <f t="array" ref="BC48">INDEX(BB:BB,MIN(IF(ISNUMBER(BB48:BB244),ROW(BB48:BB244),"")))</f>
        <v>5.8</v>
      </c>
      <c r="BD48" s="13">
        <f>IF('Données projet'!$A$88&gt;35,BD47+BC48-BL47,IF(A48&lt;'Données projet'!$A$88,$BA$205^A48,IF(A48='Données projet'!$A$88,'Données projet'!$B$88,BD47+BC48-BL47)))</f>
        <v>102.00000000000004</v>
      </c>
      <c r="BE48" s="14">
        <f>BD48*VLOOKUP('Données projet'!$B$11,Paramètres!$A$1:$I$89,3,0)*VLOOKUP('Données projet'!$B$11,Paramètres!$A$1:$I$89,5,0)</f>
        <v>109.79280000000004</v>
      </c>
      <c r="BF48" s="14">
        <f t="shared" si="37"/>
        <v>29.28216128090861</v>
      </c>
      <c r="BG48" s="22">
        <f t="shared" si="7"/>
        <v>242.22222423091591</v>
      </c>
      <c r="BH48" s="62">
        <f t="shared" si="8"/>
        <v>493.84898178175001</v>
      </c>
      <c r="BI48" s="62">
        <f ca="1">AVERAGE(OFFSET($BH$3,0,0,'Données projet'!$E$11+1,1))-AVERAGE(OFFSET($H$3,0,0,'Données projet'!$E$11+1,1))</f>
        <v>287.77879820226661</v>
      </c>
      <c r="BJ48" s="62">
        <f t="shared" si="38"/>
        <v>202.51334141855753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14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</v>
      </c>
      <c r="N49" s="14">
        <f>IF('Données projet'!$A$36&gt;35,N48+M49-V48,IF(A49&lt;'Données projet'!$A$36,$K$205^A49,IF(A49='Données projet'!$A$36,'Données projet'!$B$36,N48+M49-V48)))</f>
        <v>187.00000000000003</v>
      </c>
      <c r="O49" s="14">
        <f>N49*VLOOKUP('Données projet'!$B$9,Paramètres!$A$1:$I$89,3,0)*VLOOKUP('Données projet'!$B$9,Paramètres!$A$1:$I$89,5,0)</f>
        <v>169.19760000000002</v>
      </c>
      <c r="P49" s="14">
        <f t="shared" si="33"/>
        <v>42.910263223432885</v>
      </c>
      <c r="Q49" s="22">
        <f t="shared" si="53"/>
        <v>369.42119511414558</v>
      </c>
      <c r="R49" s="62">
        <f t="shared" si="0"/>
        <v>621.77146851287125</v>
      </c>
      <c r="S49" s="62">
        <f ca="1">AVERAGE(OFFSET($R$3,0,0,'Données projet'!$E$9+1,1))-AVERAGE(OFFSET($H$3,0,0,'Données projet'!$E$9+1,1))</f>
        <v>435.66722289172486</v>
      </c>
      <c r="T49" s="62">
        <f t="shared" si="34"/>
        <v>297.32483725004136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7.0839678676350477</v>
      </c>
      <c r="AA49" s="23">
        <f>EXP(-LN(2)/25)*AA48+(1-EXP(-LN(2)/25))/(LN(2)/25)*Calculateur!V49*Calculateur!X49*VLOOKUP('Données projet'!$B$9,Paramètres!$A$1:$I$89,3,0)*0.475*44/12</f>
        <v>6.698334447879879</v>
      </c>
      <c r="AB49" s="23">
        <f>EXP(-LN(2)/2)*AB48+(1-EXP(-LN(2)/2))/(LN(2)/2)*V49*Y49*VLOOKUP('Données projet'!$B$9,Paramètres!$A$1:$I$89,3,0)*0.475*44/12</f>
        <v>0</v>
      </c>
      <c r="AC49" s="24">
        <f t="shared" si="3"/>
        <v>13.782302315514926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5.6</v>
      </c>
      <c r="AI49" s="14">
        <f>IF('Données projet'!$A$62&gt;35,AI48+AH49-AQ48,IF(A49&lt;'Données projet'!$A$62,$AF$205^A49,IF(A49='Données projet'!$A$62,'Données projet'!$B$62,AI48+AH49-AQ48)))</f>
        <v>93.600000000000037</v>
      </c>
      <c r="AJ49" s="14">
        <f>AI49*VLOOKUP('Données projet'!$B$10,Paramètres!$A$1:$I$89,3,0)*VLOOKUP('Données projet'!$B$10,Paramètres!$A$1:$I$89,5,0)</f>
        <v>90.529920000000047</v>
      </c>
      <c r="AK49" s="14">
        <f t="shared" si="35"/>
        <v>24.692985237067781</v>
      </c>
      <c r="AL49" s="22">
        <f t="shared" si="4"/>
        <v>200.67989328789312</v>
      </c>
      <c r="AM49" s="62">
        <f t="shared" si="5"/>
        <v>453.03016668661877</v>
      </c>
      <c r="AN49" s="62">
        <f ca="1">AVERAGE(OFFSET($AM$3,0,0,'Données projet'!$E$10+1,1))-AVERAGE(OFFSET($H$3,0,0,'Données projet'!$E$10+1,1))</f>
        <v>265.30115826265654</v>
      </c>
      <c r="AO49" s="62">
        <f t="shared" si="36"/>
        <v>187.99130270616999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5.6</v>
      </c>
      <c r="BD49" s="13">
        <f>IF('Données projet'!$A$88&gt;35,BD48+BC49-BL48,IF(A49&lt;'Données projet'!$A$88,$BA$205^A49,IF(A49='Données projet'!$A$88,'Données projet'!$B$88,BD48+BC49-BL48)))</f>
        <v>93.600000000000037</v>
      </c>
      <c r="BE49" s="14">
        <f>BD49*VLOOKUP('Données projet'!$B$11,Paramètres!$A$1:$I$89,3,0)*VLOOKUP('Données projet'!$B$11,Paramètres!$A$1:$I$89,5,0)</f>
        <v>100.75104000000003</v>
      </c>
      <c r="BF49" s="14">
        <f t="shared" si="37"/>
        <v>27.140844480453463</v>
      </c>
      <c r="BG49" s="22">
        <f t="shared" si="7"/>
        <v>222.74503213678983</v>
      </c>
      <c r="BH49" s="62">
        <f t="shared" si="8"/>
        <v>475.09530553551548</v>
      </c>
      <c r="BI49" s="62">
        <f ca="1">AVERAGE(OFFSET($BH$3,0,0,'Données projet'!$E$11+1,1))-AVERAGE(OFFSET($H$3,0,0,'Données projet'!$E$11+1,1))</f>
        <v>287.77879820226661</v>
      </c>
      <c r="BJ49" s="62">
        <f t="shared" si="38"/>
        <v>202.51334141855753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</v>
      </c>
      <c r="N50" s="14">
        <f>IF('Données projet'!$A$36&gt;35,N49+M50-V49,IF(A50&lt;'Données projet'!$A$36,$K$205^A50,IF(A50='Données projet'!$A$36,'Données projet'!$B$36,N49+M50-V49)))</f>
        <v>198.00000000000003</v>
      </c>
      <c r="O50" s="14">
        <f>N50*VLOOKUP('Données projet'!$B$9,Paramètres!$A$1:$I$89,3,0)*VLOOKUP('Données projet'!$B$9,Paramètres!$A$1:$I$89,5,0)</f>
        <v>179.15040000000002</v>
      </c>
      <c r="P50" s="14">
        <f t="shared" si="33"/>
        <v>45.133113803437304</v>
      </c>
      <c r="Q50" s="22">
        <f t="shared" si="53"/>
        <v>390.62711987431999</v>
      </c>
      <c r="R50" s="62">
        <f t="shared" si="0"/>
        <v>643.68835773851538</v>
      </c>
      <c r="S50" s="62">
        <f ca="1">AVERAGE(OFFSET($R$3,0,0,'Données projet'!$E$9+1,1))-AVERAGE(OFFSET($H$3,0,0,'Données projet'!$E$9+1,1))</f>
        <v>435.66722289172486</v>
      </c>
      <c r="T50" s="62">
        <f t="shared" si="34"/>
        <v>297.32483725004136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6.9450555785444807</v>
      </c>
      <c r="AA50" s="23">
        <f>EXP(-LN(2)/25)*AA49+(1-EXP(-LN(2)/25))/(LN(2)/25)*Calculateur!V50*Calculateur!X50*VLOOKUP('Données projet'!$B$9,Paramètres!$A$1:$I$89,3,0)*0.475*44/12</f>
        <v>6.5151681401525039</v>
      </c>
      <c r="AB50" s="23">
        <f>EXP(-LN(2)/2)*AB49+(1-EXP(-LN(2)/2))/(LN(2)/2)*V50*Y50*VLOOKUP('Données projet'!$B$9,Paramètres!$A$1:$I$89,3,0)*0.475*44/12</f>
        <v>0</v>
      </c>
      <c r="AC50" s="24">
        <f t="shared" si="3"/>
        <v>13.460223718696984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5.6</v>
      </c>
      <c r="AI50" s="14">
        <f>IF('Données projet'!$A$62&gt;35,AI49+AH50-AQ49,IF(A50&lt;'Données projet'!$A$62,$AF$205^A50,IF(A50='Données projet'!$A$62,'Données projet'!$B$62,AI49+AH50-AQ49)))</f>
        <v>99.200000000000031</v>
      </c>
      <c r="AJ50" s="14">
        <f>AI50*VLOOKUP('Données projet'!$B$10,Paramètres!$A$1:$I$89,3,0)*VLOOKUP('Données projet'!$B$10,Paramètres!$A$1:$I$89,5,0)</f>
        <v>95.946240000000032</v>
      </c>
      <c r="AK50" s="14">
        <f t="shared" si="35"/>
        <v>25.9939315116542</v>
      </c>
      <c r="AL50" s="22">
        <f t="shared" si="4"/>
        <v>212.3791320494644</v>
      </c>
      <c r="AM50" s="62">
        <f t="shared" si="5"/>
        <v>465.44036991365977</v>
      </c>
      <c r="AN50" s="62">
        <f ca="1">AVERAGE(OFFSET($AM$3,0,0,'Données projet'!$E$10+1,1))-AVERAGE(OFFSET($H$3,0,0,'Données projet'!$E$10+1,1))</f>
        <v>265.30115826265654</v>
      </c>
      <c r="AO50" s="62">
        <f t="shared" si="36"/>
        <v>187.99130270616999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5.6</v>
      </c>
      <c r="BD50" s="13">
        <f>IF('Données projet'!$A$88&gt;35,BD49+BC50-BL49,IF(A50&lt;'Données projet'!$A$88,$BA$205^A50,IF(A50='Données projet'!$A$88,'Données projet'!$B$88,BD49+BC50-BL49)))</f>
        <v>99.200000000000031</v>
      </c>
      <c r="BE50" s="14">
        <f>BD50*VLOOKUP('Données projet'!$B$11,Paramètres!$A$1:$I$89,3,0)*VLOOKUP('Données projet'!$B$11,Paramètres!$A$1:$I$89,5,0)</f>
        <v>106.77888000000004</v>
      </c>
      <c r="BF50" s="14">
        <f t="shared" si="37"/>
        <v>28.570755857186118</v>
      </c>
      <c r="BG50" s="22">
        <f t="shared" si="7"/>
        <v>235.73394911793255</v>
      </c>
      <c r="BH50" s="62">
        <f t="shared" si="8"/>
        <v>488.79518698212792</v>
      </c>
      <c r="BI50" s="62">
        <f ca="1">AVERAGE(OFFSET($BH$3,0,0,'Données projet'!$E$11+1,1))-AVERAGE(OFFSET($H$3,0,0,'Données projet'!$E$11+1,1))</f>
        <v>287.77879820226661</v>
      </c>
      <c r="BJ50" s="62">
        <f t="shared" si="38"/>
        <v>202.51334141855753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</v>
      </c>
      <c r="N51" s="14">
        <f>IF('Données projet'!$A$36&gt;35,N50+M51-V50,IF(A51&lt;'Données projet'!$A$36,$K$205^A51,IF(A51='Données projet'!$A$36,'Données projet'!$B$36,N50+M51-V50)))</f>
        <v>209.00000000000003</v>
      </c>
      <c r="O51" s="14">
        <f>N51*VLOOKUP('Données projet'!$B$9,Paramètres!$A$1:$I$89,3,0)*VLOOKUP('Données projet'!$B$9,Paramètres!$A$1:$I$89,5,0)</f>
        <v>189.10320000000002</v>
      </c>
      <c r="P51" s="14">
        <f t="shared" si="33"/>
        <v>47.34162854278712</v>
      </c>
      <c r="Q51" s="22">
        <f t="shared" si="53"/>
        <v>411.80807637868764</v>
      </c>
      <c r="R51" s="62">
        <f t="shared" si="0"/>
        <v>665.5679450643554</v>
      </c>
      <c r="S51" s="62">
        <f ca="1">AVERAGE(OFFSET($R$3,0,0,'Données projet'!$E$9+1,1))-AVERAGE(OFFSET($H$3,0,0,'Données projet'!$E$9+1,1))</f>
        <v>435.66722289172486</v>
      </c>
      <c r="T51" s="62">
        <f t="shared" si="34"/>
        <v>297.32483725004136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6.8088672747148493</v>
      </c>
      <c r="AA51" s="23">
        <f>EXP(-LN(2)/25)*AA50+(1-EXP(-LN(2)/25))/(LN(2)/25)*Calculateur!V51*Calculateur!X51*VLOOKUP('Données projet'!$B$9,Paramètres!$A$1:$I$89,3,0)*0.475*44/12</f>
        <v>6.3370105247422321</v>
      </c>
      <c r="AB51" s="23">
        <f>EXP(-LN(2)/2)*AB50+(1-EXP(-LN(2)/2))/(LN(2)/2)*V51*Y51*VLOOKUP('Données projet'!$B$9,Paramètres!$A$1:$I$89,3,0)*0.475*44/12</f>
        <v>0</v>
      </c>
      <c r="AC51" s="24">
        <f t="shared" si="3"/>
        <v>13.145877799457082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5.6</v>
      </c>
      <c r="AI51" s="14">
        <f>IF('Données projet'!$A$62&gt;35,AI50+AH51-AQ50,IF(A51&lt;'Données projet'!$A$62,$AF$205^A51,IF(A51='Données projet'!$A$62,'Données projet'!$B$62,AI50+AH51-AQ50)))</f>
        <v>104.80000000000003</v>
      </c>
      <c r="AJ51" s="14">
        <f>AI51*VLOOKUP('Données projet'!$B$10,Paramètres!$A$1:$I$89,3,0)*VLOOKUP('Données projet'!$B$10,Paramètres!$A$1:$I$89,5,0)</f>
        <v>101.36256000000003</v>
      </c>
      <c r="AK51" s="14">
        <f t="shared" si="35"/>
        <v>27.286352555188046</v>
      </c>
      <c r="AL51" s="22">
        <f t="shared" si="4"/>
        <v>224.06352270028592</v>
      </c>
      <c r="AM51" s="62">
        <f t="shared" si="5"/>
        <v>477.82339138595364</v>
      </c>
      <c r="AN51" s="62">
        <f ca="1">AVERAGE(OFFSET($AM$3,0,0,'Données projet'!$E$10+1,1))-AVERAGE(OFFSET($H$3,0,0,'Données projet'!$E$10+1,1))</f>
        <v>265.30115826265654</v>
      </c>
      <c r="AO51" s="62">
        <f t="shared" si="36"/>
        <v>187.99130270616999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5.6</v>
      </c>
      <c r="BD51" s="13">
        <f>IF('Données projet'!$A$88&gt;35,BD50+BC51-BL50,IF(A51&lt;'Données projet'!$A$88,$BA$205^A51,IF(A51='Données projet'!$A$88,'Données projet'!$B$88,BD50+BC51-BL50)))</f>
        <v>104.80000000000003</v>
      </c>
      <c r="BE51" s="14">
        <f>BD51*VLOOKUP('Données projet'!$B$11,Paramètres!$A$1:$I$89,3,0)*VLOOKUP('Données projet'!$B$11,Paramètres!$A$1:$I$89,5,0)</f>
        <v>112.80672000000003</v>
      </c>
      <c r="BF51" s="14">
        <f t="shared" si="37"/>
        <v>29.991296881653309</v>
      </c>
      <c r="BG51" s="22">
        <f t="shared" si="7"/>
        <v>248.70654606887956</v>
      </c>
      <c r="BH51" s="62">
        <f t="shared" si="8"/>
        <v>502.46641475454726</v>
      </c>
      <c r="BI51" s="62">
        <f ca="1">AVERAGE(OFFSET($BH$3,0,0,'Données projet'!$E$11+1,1))-AVERAGE(OFFSET($H$3,0,0,'Données projet'!$E$11+1,1))</f>
        <v>287.77879820226661</v>
      </c>
      <c r="BJ51" s="62">
        <f t="shared" si="38"/>
        <v>202.51334141855753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</v>
      </c>
      <c r="N52" s="14">
        <f>IF('Données projet'!$A$36&gt;35,N51+M52-V51,IF(A52&lt;'Données projet'!$A$36,$K$205^A52,IF(A52='Données projet'!$A$36,'Données projet'!$B$36,N51+M52-V51)))</f>
        <v>220.00000000000003</v>
      </c>
      <c r="O52" s="14">
        <f>N52*VLOOKUP('Données projet'!$B$9,Paramètres!$A$1:$I$89,3,0)*VLOOKUP('Données projet'!$B$9,Paramètres!$A$1:$I$89,5,0)</f>
        <v>199.05600000000001</v>
      </c>
      <c r="P52" s="14">
        <f t="shared" si="33"/>
        <v>49.536648006253934</v>
      </c>
      <c r="Q52" s="22">
        <f t="shared" si="53"/>
        <v>432.96552861089231</v>
      </c>
      <c r="R52" s="62">
        <f t="shared" si="0"/>
        <v>687.41190843518427</v>
      </c>
      <c r="S52" s="62">
        <f ca="1">AVERAGE(OFFSET($R$3,0,0,'Données projet'!$E$9+1,1))-AVERAGE(OFFSET($H$3,0,0,'Données projet'!$E$9+1,1))</f>
        <v>435.66722289172486</v>
      </c>
      <c r="T52" s="62">
        <f t="shared" si="34"/>
        <v>297.32483725004136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6.6753495404566543</v>
      </c>
      <c r="AA52" s="23">
        <f>EXP(-LN(2)/25)*AA51+(1-EXP(-LN(2)/25))/(LN(2)/25)*Calculateur!V52*Calculateur!X52*VLOOKUP('Données projet'!$B$9,Paramètres!$A$1:$I$89,3,0)*0.475*44/12</f>
        <v>6.1637246386942559</v>
      </c>
      <c r="AB52" s="23">
        <f>EXP(-LN(2)/2)*AB51+(1-EXP(-LN(2)/2))/(LN(2)/2)*V52*Y52*VLOOKUP('Données projet'!$B$9,Paramètres!$A$1:$I$89,3,0)*0.475*44/12</f>
        <v>0</v>
      </c>
      <c r="AC52" s="24">
        <f t="shared" si="3"/>
        <v>12.839074179150909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5.6</v>
      </c>
      <c r="AI52" s="14">
        <f>IF('Données projet'!$A$62&gt;35,AI51+AH52-AQ51,IF(A52&lt;'Données projet'!$A$62,$AF$205^A52,IF(A52='Données projet'!$A$62,'Données projet'!$B$62,AI51+AH52-AQ51)))</f>
        <v>110.40000000000002</v>
      </c>
      <c r="AJ52" s="14">
        <f>AI52*VLOOKUP('Données projet'!$B$10,Paramètres!$A$1:$I$89,3,0)*VLOOKUP('Données projet'!$B$10,Paramètres!$A$1:$I$89,5,0)</f>
        <v>106.77888000000002</v>
      </c>
      <c r="AK52" s="14">
        <f t="shared" si="35"/>
        <v>28.570755857186093</v>
      </c>
      <c r="AL52" s="22">
        <f t="shared" si="4"/>
        <v>235.73394911793244</v>
      </c>
      <c r="AM52" s="62">
        <f t="shared" si="5"/>
        <v>490.18032894222438</v>
      </c>
      <c r="AN52" s="62">
        <f ca="1">AVERAGE(OFFSET($AM$3,0,0,'Données projet'!$E$10+1,1))-AVERAGE(OFFSET($H$3,0,0,'Données projet'!$E$10+1,1))</f>
        <v>265.30115826265654</v>
      </c>
      <c r="AO52" s="62">
        <f t="shared" si="36"/>
        <v>187.99130270616999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5.6</v>
      </c>
      <c r="BD52" s="13">
        <f>IF('Données projet'!$A$88&gt;35,BD51+BC52-BL51,IF(A52&lt;'Données projet'!$A$88,$BA$205^A52,IF(A52='Données projet'!$A$88,'Données projet'!$B$88,BD51+BC52-BL51)))</f>
        <v>110.40000000000002</v>
      </c>
      <c r="BE52" s="14">
        <f>BD52*VLOOKUP('Données projet'!$B$11,Paramètres!$A$1:$I$89,3,0)*VLOOKUP('Données projet'!$B$11,Paramètres!$A$1:$I$89,5,0)</f>
        <v>118.83456000000001</v>
      </c>
      <c r="BF52" s="14">
        <f t="shared" si="37"/>
        <v>31.403025351704024</v>
      </c>
      <c r="BG52" s="22">
        <f t="shared" si="7"/>
        <v>261.66379448755117</v>
      </c>
      <c r="BH52" s="62">
        <f t="shared" si="8"/>
        <v>516.11017431184314</v>
      </c>
      <c r="BI52" s="62">
        <f ca="1">AVERAGE(OFFSET($BH$3,0,0,'Données projet'!$E$11+1,1))-AVERAGE(OFFSET($H$3,0,0,'Données projet'!$E$11+1,1))</f>
        <v>287.77879820226661</v>
      </c>
      <c r="BJ52" s="62">
        <f t="shared" si="38"/>
        <v>202.51334141855753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11</v>
      </c>
      <c r="M53" s="13">
        <f t="array" ref="M53">INDEX(L:L,MIN(IF(ISNUMBER(L53:L249),ROW(L53:L249),"")))</f>
        <v>11</v>
      </c>
      <c r="N53" s="14">
        <f>IF('Données projet'!$A$36&gt;35,N52+M53-V52,IF(A53&lt;'Données projet'!$A$36,$K$205^A53,IF(A53='Données projet'!$A$36,'Données projet'!$B$36,N52+M53-V52)))</f>
        <v>231.00000000000003</v>
      </c>
      <c r="O53" s="14">
        <f>N53*VLOOKUP('Données projet'!$B$9,Paramètres!$A$1:$I$89,3,0)*VLOOKUP('Données projet'!$B$9,Paramètres!$A$1:$I$89,5,0)</f>
        <v>209.00880000000004</v>
      </c>
      <c r="P53" s="14">
        <f t="shared" si="33"/>
        <v>51.718923953824252</v>
      </c>
      <c r="Q53" s="22">
        <f t="shared" si="53"/>
        <v>454.10078588624395</v>
      </c>
      <c r="R53" s="62">
        <f t="shared" si="0"/>
        <v>709.22176741571411</v>
      </c>
      <c r="S53" s="62">
        <f ca="1">AVERAGE(OFFSET($R$3,0,0,'Données projet'!$E$9+1,1))-AVERAGE(OFFSET($H$3,0,0,'Données projet'!$E$9+1,1))</f>
        <v>435.66722289172486</v>
      </c>
      <c r="T53" s="62">
        <f t="shared" si="34"/>
        <v>297.32483725004136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28</v>
      </c>
      <c r="W53" s="17">
        <f>IF(ISNA(VLOOKUP(A53,'Données projet'!$A$35:$I$55,5,0)),0%,VLOOKUP(A53,'Données projet'!$A$35:$I$55,5,0)*VLOOKUP('Données projet'!$B$9,Paramètres!$A$1:$I$89,7,0))</f>
        <v>0.25800000000000001</v>
      </c>
      <c r="X53" s="17">
        <f>IF(ISNA(VLOOKUP(A53,'Données projet'!$A$35:$I$55,6,0)),0%,VLOOKUP(A53,'Données projet'!$A$35:$I$55,6,0)*VLOOKUP('Données projet'!$B$9,Paramètres!$A$1:$I$89,7,0))</f>
        <v>0.17200000000000001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13.770108633605295</v>
      </c>
      <c r="AA53" s="23">
        <f>EXP(-LN(2)/25)*AA52+(1-EXP(-LN(2)/25))/(LN(2)/25)*Calculateur!V53*Calculateur!X53*VLOOKUP('Données projet'!$B$9,Paramètres!$A$1:$I$89,3,0)*0.475*44/12</f>
        <v>10.793316234228413</v>
      </c>
      <c r="AB53" s="23">
        <f>EXP(-LN(2)/2)*AB52+(1-EXP(-LN(2)/2))/(LN(2)/2)*V53*Y53*VLOOKUP('Données projet'!$B$9,Paramètres!$A$1:$I$89,3,0)*0.475*44/12</f>
        <v>0</v>
      </c>
      <c r="AC53" s="24">
        <f t="shared" si="3"/>
        <v>24.56342486783371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116</v>
      </c>
      <c r="AG53" s="13">
        <f>VLOOKUP(A53,'Données projet'!$A$61:$I$81,9,0)</f>
        <v>5.6</v>
      </c>
      <c r="AH53" s="13">
        <f t="array" ref="AH53">INDEX(AG:AG,MIN(IF(ISNUMBER(AG53:AG249),ROW(AG53:AG249),"")))</f>
        <v>5.6</v>
      </c>
      <c r="AI53" s="14">
        <f>IF('Données projet'!$A$62&gt;35,AI52+AH53-AQ52,IF(A53&lt;'Données projet'!$A$62,$AF$205^A53,IF(A53='Données projet'!$A$62,'Données projet'!$B$62,AI52+AH53-AQ52)))</f>
        <v>116.00000000000001</v>
      </c>
      <c r="AJ53" s="14">
        <f>AI53*VLOOKUP('Données projet'!$B$10,Paramètres!$A$1:$I$89,3,0)*VLOOKUP('Données projet'!$B$10,Paramètres!$A$1:$I$89,5,0)</f>
        <v>112.1952</v>
      </c>
      <c r="AK53" s="14">
        <f t="shared" si="35"/>
        <v>29.847594514573263</v>
      </c>
      <c r="AL53" s="22">
        <f t="shared" si="4"/>
        <v>247.39120044621509</v>
      </c>
      <c r="AM53" s="62">
        <f t="shared" si="5"/>
        <v>502.51218197568517</v>
      </c>
      <c r="AN53" s="62">
        <f ca="1">AVERAGE(OFFSET($AM$3,0,0,'Données projet'!$E$10+1,1))-AVERAGE(OFFSET($H$3,0,0,'Données projet'!$E$10+1,1))</f>
        <v>265.30115826265654</v>
      </c>
      <c r="AO53" s="62">
        <f t="shared" si="36"/>
        <v>187.99130270616999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14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116</v>
      </c>
      <c r="BB53" s="13">
        <f>VLOOKUP(A53,'Données projet'!$A$87:$I$107,9,0)</f>
        <v>5.6</v>
      </c>
      <c r="BC53" s="13">
        <f t="array" ref="BC53">INDEX(BB:BB,MIN(IF(ISNUMBER(BB53:BB249),ROW(BB53:BB249),"")))</f>
        <v>5.6</v>
      </c>
      <c r="BD53" s="13">
        <f>IF('Données projet'!$A$88&gt;35,BD52+BC53-BL52,IF(A53&lt;'Données projet'!$A$88,$BA$205^A53,IF(A53='Données projet'!$A$88,'Données projet'!$B$88,BD52+BC53-BL52)))</f>
        <v>116.00000000000001</v>
      </c>
      <c r="BE53" s="14">
        <f>BD53*VLOOKUP('Données projet'!$B$11,Paramètres!$A$1:$I$89,3,0)*VLOOKUP('Données projet'!$B$11,Paramètres!$A$1:$I$89,5,0)</f>
        <v>124.86240000000001</v>
      </c>
      <c r="BF53" s="14">
        <f t="shared" si="37"/>
        <v>32.806439280561598</v>
      </c>
      <c r="BG53" s="22">
        <f t="shared" si="7"/>
        <v>274.60656174697812</v>
      </c>
      <c r="BH53" s="62">
        <f t="shared" si="8"/>
        <v>529.72754327644816</v>
      </c>
      <c r="BI53" s="62">
        <f ca="1">AVERAGE(OFFSET($BH$3,0,0,'Données projet'!$E$11+1,1))-AVERAGE(OFFSET($H$3,0,0,'Données projet'!$E$11+1,1))</f>
        <v>287.77879820226661</v>
      </c>
      <c r="BJ53" s="62">
        <f t="shared" si="38"/>
        <v>202.51334141855753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14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10.199999999999999</v>
      </c>
      <c r="N54" s="14">
        <f>IF('Données projet'!$A$36&gt;35,N53+M54-V53,IF(A54&lt;'Données projet'!$A$36,$K$205^A54,IF(A54='Données projet'!$A$36,'Données projet'!$B$36,N53+M54-V53)))</f>
        <v>213.20000000000002</v>
      </c>
      <c r="O54" s="14">
        <f>N54*VLOOKUP('Données projet'!$B$9,Paramètres!$A$1:$I$89,3,0)*VLOOKUP('Données projet'!$B$9,Paramètres!$A$1:$I$89,5,0)</f>
        <v>192.90336000000002</v>
      </c>
      <c r="P54" s="14">
        <f t="shared" si="33"/>
        <v>48.181276881765257</v>
      </c>
      <c r="Q54" s="22">
        <f t="shared" si="53"/>
        <v>419.88907590240791</v>
      </c>
      <c r="R54" s="62">
        <f t="shared" si="0"/>
        <v>675.67295630565468</v>
      </c>
      <c r="S54" s="62">
        <f ca="1">AVERAGE(OFFSET($R$3,0,0,'Données projet'!$E$9+1,1))-AVERAGE(OFFSET($H$3,0,0,'Données projet'!$E$9+1,1))</f>
        <v>435.66722289172486</v>
      </c>
      <c r="T54" s="62">
        <f t="shared" si="34"/>
        <v>297.32483725004136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13.500085202237235</v>
      </c>
      <c r="AA54" s="23">
        <f>EXP(-LN(2)/25)*AA53+(1-EXP(-LN(2)/25))/(LN(2)/25)*Calculateur!V54*Calculateur!X54*VLOOKUP('Données projet'!$B$9,Paramètres!$A$1:$I$89,3,0)*0.475*44/12</f>
        <v>10.498172434207605</v>
      </c>
      <c r="AB54" s="23">
        <f>EXP(-LN(2)/2)*AB53+(1-EXP(-LN(2)/2))/(LN(2)/2)*V54*Y54*VLOOKUP('Données projet'!$B$9,Paramètres!$A$1:$I$89,3,0)*0.475*44/12</f>
        <v>0</v>
      </c>
      <c r="AC54" s="24">
        <f t="shared" si="3"/>
        <v>23.998257636444841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5</v>
      </c>
      <c r="AI54" s="14">
        <f>IF('Données projet'!$A$62&gt;35,AI53+AH54-AQ53,IF(A54&lt;'Données projet'!$A$62,$AF$205^A54,IF(A54='Données projet'!$A$62,'Données projet'!$B$62,AI53+AH54-AQ53)))</f>
        <v>107.00000000000001</v>
      </c>
      <c r="AJ54" s="14">
        <f>AI54*VLOOKUP('Données projet'!$B$10,Paramètres!$A$1:$I$89,3,0)*VLOOKUP('Données projet'!$B$10,Paramètres!$A$1:$I$89,5,0)</f>
        <v>103.49040000000001</v>
      </c>
      <c r="AK54" s="14">
        <f t="shared" si="35"/>
        <v>27.791869560921153</v>
      </c>
      <c r="AL54" s="22">
        <f t="shared" si="4"/>
        <v>228.64995281860433</v>
      </c>
      <c r="AM54" s="62">
        <f t="shared" si="5"/>
        <v>484.43383322185116</v>
      </c>
      <c r="AN54" s="62">
        <f ca="1">AVERAGE(OFFSET($AM$3,0,0,'Données projet'!$E$10+1,1))-AVERAGE(OFFSET($H$3,0,0,'Données projet'!$E$10+1,1))</f>
        <v>265.30115826265654</v>
      </c>
      <c r="AO54" s="62">
        <f t="shared" si="36"/>
        <v>187.99130270616999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5</v>
      </c>
      <c r="BD54" s="13">
        <f>IF('Données projet'!$A$88&gt;35,BD53+BC54-BL53,IF(A54&lt;'Données projet'!$A$88,$BA$205^A54,IF(A54='Données projet'!$A$88,'Données projet'!$B$88,BD53+BC54-BL53)))</f>
        <v>107.00000000000001</v>
      </c>
      <c r="BE54" s="14">
        <f>BD54*VLOOKUP('Données projet'!$B$11,Paramètres!$A$1:$I$89,3,0)*VLOOKUP('Données projet'!$B$11,Paramètres!$A$1:$I$89,5,0)</f>
        <v>115.1748</v>
      </c>
      <c r="BF54" s="14">
        <f t="shared" si="37"/>
        <v>30.546926681092497</v>
      </c>
      <c r="BG54" s="22">
        <f t="shared" si="7"/>
        <v>253.79867396956942</v>
      </c>
      <c r="BH54" s="62">
        <f t="shared" si="8"/>
        <v>509.58255437281628</v>
      </c>
      <c r="BI54" s="62">
        <f ca="1">AVERAGE(OFFSET($BH$3,0,0,'Données projet'!$E$11+1,1))-AVERAGE(OFFSET($H$3,0,0,'Données projet'!$E$11+1,1))</f>
        <v>287.77879820226661</v>
      </c>
      <c r="BJ54" s="62">
        <f t="shared" si="38"/>
        <v>202.51334141855753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10.199999999999999</v>
      </c>
      <c r="N55" s="14">
        <f>IF('Données projet'!$A$36&gt;35,N54+M55-V54,IF(A55&lt;'Données projet'!$A$36,$K$205^A55,IF(A55='Données projet'!$A$36,'Données projet'!$B$36,N54+M55-V54)))</f>
        <v>223.4</v>
      </c>
      <c r="O55" s="14">
        <f>N55*VLOOKUP('Données projet'!$B$9,Paramètres!$A$1:$I$89,3,0)*VLOOKUP('Données projet'!$B$9,Paramètres!$A$1:$I$89,5,0)</f>
        <v>202.13232000000002</v>
      </c>
      <c r="P55" s="14">
        <f t="shared" si="33"/>
        <v>50.212497488959627</v>
      </c>
      <c r="Q55" s="22">
        <f t="shared" si="53"/>
        <v>439.50055712660469</v>
      </c>
      <c r="R55" s="62">
        <f t="shared" si="0"/>
        <v>695.93583659018805</v>
      </c>
      <c r="S55" s="62">
        <f ca="1">AVERAGE(OFFSET($R$3,0,0,'Données projet'!$E$9+1,1))-AVERAGE(OFFSET($H$3,0,0,'Données projet'!$E$9+1,1))</f>
        <v>435.66722289172486</v>
      </c>
      <c r="T55" s="62">
        <f t="shared" si="34"/>
        <v>297.32483725004136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13.235356765660272</v>
      </c>
      <c r="AA55" s="23">
        <f>EXP(-LN(2)/25)*AA54+(1-EXP(-LN(2)/25))/(LN(2)/25)*Calculateur!V55*Calculateur!X55*VLOOKUP('Données projet'!$B$9,Paramètres!$A$1:$I$89,3,0)*0.475*44/12</f>
        <v>10.211099356919304</v>
      </c>
      <c r="AB55" s="23">
        <f>EXP(-LN(2)/2)*AB54+(1-EXP(-LN(2)/2))/(LN(2)/2)*V55*Y55*VLOOKUP('Données projet'!$B$9,Paramètres!$A$1:$I$89,3,0)*0.475*44/12</f>
        <v>0</v>
      </c>
      <c r="AC55" s="24">
        <f t="shared" si="3"/>
        <v>23.446456122579576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5</v>
      </c>
      <c r="AI55" s="14">
        <f>IF('Données projet'!$A$62&gt;35,AI54+AH55-AQ54,IF(A55&lt;'Données projet'!$A$62,$AF$205^A55,IF(A55='Données projet'!$A$62,'Données projet'!$B$62,AI54+AH55-AQ54)))</f>
        <v>112.00000000000001</v>
      </c>
      <c r="AJ55" s="14">
        <f>AI55*VLOOKUP('Données projet'!$B$10,Paramètres!$A$1:$I$89,3,0)*VLOOKUP('Données projet'!$B$10,Paramètres!$A$1:$I$89,5,0)</f>
        <v>108.32640000000002</v>
      </c>
      <c r="AK55" s="14">
        <f t="shared" si="35"/>
        <v>28.936320206966883</v>
      </c>
      <c r="AL55" s="22">
        <f t="shared" si="4"/>
        <v>239.06590436046736</v>
      </c>
      <c r="AM55" s="62">
        <f t="shared" si="5"/>
        <v>495.50118382405071</v>
      </c>
      <c r="AN55" s="62">
        <f ca="1">AVERAGE(OFFSET($AM$3,0,0,'Données projet'!$E$10+1,1))-AVERAGE(OFFSET($H$3,0,0,'Données projet'!$E$10+1,1))</f>
        <v>265.30115826265654</v>
      </c>
      <c r="AO55" s="62">
        <f t="shared" si="36"/>
        <v>187.99130270616999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5</v>
      </c>
      <c r="BD55" s="13">
        <f>IF('Données projet'!$A$88&gt;35,BD54+BC55-BL54,IF(A55&lt;'Données projet'!$A$88,$BA$205^A55,IF(A55='Données projet'!$A$88,'Données projet'!$B$88,BD54+BC55-BL54)))</f>
        <v>112.00000000000001</v>
      </c>
      <c r="BE55" s="14">
        <f>BD55*VLOOKUP('Données projet'!$B$11,Paramètres!$A$1:$I$89,3,0)*VLOOKUP('Données projet'!$B$11,Paramètres!$A$1:$I$89,5,0)</f>
        <v>120.55680000000001</v>
      </c>
      <c r="BF55" s="14">
        <f t="shared" si="37"/>
        <v>31.804828741198779</v>
      </c>
      <c r="BG55" s="22">
        <f t="shared" si="7"/>
        <v>265.36317005758787</v>
      </c>
      <c r="BH55" s="62">
        <f t="shared" si="8"/>
        <v>521.79844952117128</v>
      </c>
      <c r="BI55" s="62">
        <f ca="1">AVERAGE(OFFSET($BH$3,0,0,'Données projet'!$E$11+1,1))-AVERAGE(OFFSET($H$3,0,0,'Données projet'!$E$11+1,1))</f>
        <v>287.77879820226661</v>
      </c>
      <c r="BJ55" s="62">
        <f t="shared" si="38"/>
        <v>202.51334141855753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10.199999999999999</v>
      </c>
      <c r="N56" s="14">
        <f>IF('Données projet'!$A$36&gt;35,N55+M56-V55,IF(A56&lt;'Données projet'!$A$36,$K$205^A56,IF(A56='Données projet'!$A$36,'Données projet'!$B$36,N55+M56-V55)))</f>
        <v>233.6</v>
      </c>
      <c r="O56" s="14">
        <f>N56*VLOOKUP('Données projet'!$B$9,Paramètres!$A$1:$I$89,3,0)*VLOOKUP('Données projet'!$B$9,Paramètres!$A$1:$I$89,5,0)</f>
        <v>211.36127999999999</v>
      </c>
      <c r="P56" s="14">
        <f t="shared" si="33"/>
        <v>52.232947669705631</v>
      </c>
      <c r="Q56" s="22">
        <f t="shared" si="53"/>
        <v>459.09327985807062</v>
      </c>
      <c r="R56" s="62">
        <f t="shared" si="0"/>
        <v>716.16865806460385</v>
      </c>
      <c r="S56" s="62">
        <f ca="1">AVERAGE(OFFSET($R$3,0,0,'Données projet'!$E$9+1,1))-AVERAGE(OFFSET($H$3,0,0,'Données projet'!$E$9+1,1))</f>
        <v>435.66722289172486</v>
      </c>
      <c r="T56" s="62">
        <f t="shared" si="34"/>
        <v>297.32483725004136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12.975819492256182</v>
      </c>
      <c r="AA56" s="23">
        <f>EXP(-LN(2)/25)*AA55+(1-EXP(-LN(2)/25))/(LN(2)/25)*Calculateur!V56*Calculateur!X56*VLOOKUP('Données projet'!$B$9,Paramètres!$A$1:$I$89,3,0)*0.475*44/12</f>
        <v>9.9318763080259682</v>
      </c>
      <c r="AB56" s="23">
        <f>EXP(-LN(2)/2)*AB55+(1-EXP(-LN(2)/2))/(LN(2)/2)*V56*Y56*VLOOKUP('Données projet'!$B$9,Paramètres!$A$1:$I$89,3,0)*0.475*44/12</f>
        <v>0</v>
      </c>
      <c r="AC56" s="24">
        <f t="shared" si="3"/>
        <v>22.907695800282148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5</v>
      </c>
      <c r="AI56" s="14">
        <f>IF('Données projet'!$A$62&gt;35,AI55+AH56-AQ55,IF(A56&lt;'Données projet'!$A$62,$AF$205^A56,IF(A56='Données projet'!$A$62,'Données projet'!$B$62,AI55+AH56-AQ55)))</f>
        <v>117.00000000000001</v>
      </c>
      <c r="AJ56" s="14">
        <f>AI56*VLOOKUP('Données projet'!$B$10,Paramètres!$A$1:$I$89,3,0)*VLOOKUP('Données projet'!$B$10,Paramètres!$A$1:$I$89,5,0)</f>
        <v>113.16240000000002</v>
      </c>
      <c r="AK56" s="14">
        <f t="shared" si="35"/>
        <v>30.074837140704965</v>
      </c>
      <c r="AL56" s="22">
        <f t="shared" si="4"/>
        <v>249.47152135339448</v>
      </c>
      <c r="AM56" s="62">
        <f t="shared" si="5"/>
        <v>506.54689955992774</v>
      </c>
      <c r="AN56" s="62">
        <f ca="1">AVERAGE(OFFSET($AM$3,0,0,'Données projet'!$E$10+1,1))-AVERAGE(OFFSET($H$3,0,0,'Données projet'!$E$10+1,1))</f>
        <v>265.30115826265654</v>
      </c>
      <c r="AO56" s="62">
        <f t="shared" si="36"/>
        <v>187.99130270616999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5</v>
      </c>
      <c r="BD56" s="13">
        <f>IF('Données projet'!$A$88&gt;35,BD55+BC56-BL55,IF(A56&lt;'Données projet'!$A$88,$BA$205^A56,IF(A56='Données projet'!$A$88,'Données projet'!$B$88,BD55+BC56-BL55)))</f>
        <v>117.00000000000001</v>
      </c>
      <c r="BE56" s="14">
        <f>BD56*VLOOKUP('Données projet'!$B$11,Paramètres!$A$1:$I$89,3,0)*VLOOKUP('Données projet'!$B$11,Paramètres!$A$1:$I$89,5,0)</f>
        <v>125.93880000000001</v>
      </c>
      <c r="BF56" s="14">
        <f t="shared" si="37"/>
        <v>33.056208869615254</v>
      </c>
      <c r="BG56" s="22">
        <f t="shared" si="7"/>
        <v>276.91630711457992</v>
      </c>
      <c r="BH56" s="62">
        <f t="shared" si="8"/>
        <v>533.99168532111321</v>
      </c>
      <c r="BI56" s="62">
        <f ca="1">AVERAGE(OFFSET($BH$3,0,0,'Données projet'!$E$11+1,1))-AVERAGE(OFFSET($H$3,0,0,'Données projet'!$E$11+1,1))</f>
        <v>287.77879820226661</v>
      </c>
      <c r="BJ56" s="62">
        <f t="shared" si="38"/>
        <v>202.51334141855753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10.199999999999999</v>
      </c>
      <c r="N57" s="14">
        <f>IF('Données projet'!$A$36&gt;35,N56+M57-V56,IF(A57&lt;'Données projet'!$A$36,$K$205^A57,IF(A57='Données projet'!$A$36,'Données projet'!$B$36,N56+M57-V56)))</f>
        <v>243.79999999999998</v>
      </c>
      <c r="O57" s="14">
        <f>N57*VLOOKUP('Données projet'!$B$9,Paramètres!$A$1:$I$89,3,0)*VLOOKUP('Données projet'!$B$9,Paramètres!$A$1:$I$89,5,0)</f>
        <v>220.59023999999997</v>
      </c>
      <c r="P57" s="14">
        <f t="shared" si="33"/>
        <v>54.24315145708789</v>
      </c>
      <c r="Q57" s="22">
        <f t="shared" si="53"/>
        <v>478.66815678776129</v>
      </c>
      <c r="R57" s="62">
        <f t="shared" si="0"/>
        <v>736.37252945510068</v>
      </c>
      <c r="S57" s="62">
        <f ca="1">AVERAGE(OFFSET($R$3,0,0,'Données projet'!$E$9+1,1))-AVERAGE(OFFSET($H$3,0,0,'Données projet'!$E$9+1,1))</f>
        <v>435.66722289172486</v>
      </c>
      <c r="T57" s="62">
        <f t="shared" si="34"/>
        <v>297.32483725004136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12.721371586481439</v>
      </c>
      <c r="AA57" s="23">
        <f>EXP(-LN(2)/25)*AA56+(1-EXP(-LN(2)/25))/(LN(2)/25)*Calculateur!V57*Calculateur!X57*VLOOKUP('Données projet'!$B$9,Paramètres!$A$1:$I$89,3,0)*0.475*44/12</f>
        <v>9.6602886280883222</v>
      </c>
      <c r="AB57" s="23">
        <f>EXP(-LN(2)/2)*AB56+(1-EXP(-LN(2)/2))/(LN(2)/2)*V57*Y57*VLOOKUP('Données projet'!$B$9,Paramètres!$A$1:$I$89,3,0)*0.475*44/12</f>
        <v>0</v>
      </c>
      <c r="AC57" s="24">
        <f t="shared" si="3"/>
        <v>22.381660214569763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5</v>
      </c>
      <c r="AI57" s="14">
        <f>IF('Données projet'!$A$62&gt;35,AI56+AH57-AQ56,IF(A57&lt;'Données projet'!$A$62,$AF$205^A57,IF(A57='Données projet'!$A$62,'Données projet'!$B$62,AI56+AH57-AQ56)))</f>
        <v>122.00000000000001</v>
      </c>
      <c r="AJ57" s="14">
        <f>AI57*VLOOKUP('Données projet'!$B$10,Paramètres!$A$1:$I$89,3,0)*VLOOKUP('Données projet'!$B$10,Paramètres!$A$1:$I$89,5,0)</f>
        <v>117.99840000000003</v>
      </c>
      <c r="AK57" s="14">
        <f t="shared" si="35"/>
        <v>31.207702928571202</v>
      </c>
      <c r="AL57" s="22">
        <f t="shared" si="4"/>
        <v>259.86729593392823</v>
      </c>
      <c r="AM57" s="62">
        <f t="shared" si="5"/>
        <v>517.57166860126756</v>
      </c>
      <c r="AN57" s="62">
        <f ca="1">AVERAGE(OFFSET($AM$3,0,0,'Données projet'!$E$10+1,1))-AVERAGE(OFFSET($H$3,0,0,'Données projet'!$E$10+1,1))</f>
        <v>265.30115826265654</v>
      </c>
      <c r="AO57" s="62">
        <f t="shared" si="36"/>
        <v>187.99130270616999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5</v>
      </c>
      <c r="BD57" s="13">
        <f>IF('Données projet'!$A$88&gt;35,BD56+BC57-BL56,IF(A57&lt;'Données projet'!$A$88,$BA$205^A57,IF(A57='Données projet'!$A$88,'Données projet'!$B$88,BD56+BC57-BL56)))</f>
        <v>122.00000000000001</v>
      </c>
      <c r="BE57" s="14">
        <f>BD57*VLOOKUP('Données projet'!$B$11,Paramètres!$A$1:$I$89,3,0)*VLOOKUP('Données projet'!$B$11,Paramètres!$A$1:$I$89,5,0)</f>
        <v>131.32080000000002</v>
      </c>
      <c r="BF57" s="14">
        <f t="shared" si="37"/>
        <v>34.301377644087651</v>
      </c>
      <c r="BG57" s="22">
        <f t="shared" si="7"/>
        <v>288.4586260634527</v>
      </c>
      <c r="BH57" s="62">
        <f t="shared" si="8"/>
        <v>546.16299873079197</v>
      </c>
      <c r="BI57" s="62">
        <f ca="1">AVERAGE(OFFSET($BH$3,0,0,'Données projet'!$E$11+1,1))-AVERAGE(OFFSET($H$3,0,0,'Données projet'!$E$11+1,1))</f>
        <v>287.77879820226661</v>
      </c>
      <c r="BJ57" s="62">
        <f t="shared" si="38"/>
        <v>202.51334141855753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254</v>
      </c>
      <c r="L58" s="13">
        <f>VLOOKUP(A58,'Données projet'!$A$35:$I$55,9,0)</f>
        <v>10.199999999999999</v>
      </c>
      <c r="M58" s="13">
        <f t="array" ref="M58">INDEX(L:L,MIN(IF(ISNUMBER(L58:L254),ROW(L58:L254),"")))</f>
        <v>10.199999999999999</v>
      </c>
      <c r="N58" s="14">
        <f>IF('Données projet'!$A$36&gt;35,N57+M58-V57,IF(A58&lt;'Données projet'!$A$36,$K$205^A58,IF(A58='Données projet'!$A$36,'Données projet'!$B$36,N57+M58-V57)))</f>
        <v>253.99999999999997</v>
      </c>
      <c r="O58" s="14">
        <f>N58*VLOOKUP('Données projet'!$B$9,Paramètres!$A$1:$I$89,3,0)*VLOOKUP('Données projet'!$B$9,Paramètres!$A$1:$I$89,5,0)</f>
        <v>229.81919999999997</v>
      </c>
      <c r="P58" s="14">
        <f t="shared" si="33"/>
        <v>56.243586554989342</v>
      </c>
      <c r="Q58" s="22">
        <f t="shared" si="53"/>
        <v>498.22601991660639</v>
      </c>
      <c r="R58" s="62">
        <f t="shared" si="0"/>
        <v>756.54847539707771</v>
      </c>
      <c r="S58" s="62">
        <f ca="1">AVERAGE(OFFSET($R$3,0,0,'Données projet'!$E$9+1,1))-AVERAGE(OFFSET($H$3,0,0,'Données projet'!$E$9+1,1))</f>
        <v>435.66722289172486</v>
      </c>
      <c r="T58" s="62">
        <f t="shared" si="34"/>
        <v>297.32483725004136</v>
      </c>
      <c r="U58" s="16">
        <f>IF(ISNA(VLOOKUP(A58,'Données projet'!$A$35:$I$55,3,0)),0,VLOOKUP(A58,'Données projet'!$A$35:$I$55,3,0))</f>
        <v>8</v>
      </c>
      <c r="V58" s="16">
        <f>IF(ISNA(VLOOKUP(A58,'Données projet'!$A$35:$I$55,4,0)),0,VLOOKUP(A58,'Données projet'!$A$35:$I$55,4,0))</f>
        <v>28</v>
      </c>
      <c r="W58" s="17">
        <f>IF(ISNA(VLOOKUP(A58,'Données projet'!$A$35:$I$55,5,0)),0%,VLOOKUP(A58,'Données projet'!$A$35:$I$55,5,0)*VLOOKUP('Données projet'!$B$9,Paramètres!$A$1:$I$89,7,0))</f>
        <v>0.25800000000000001</v>
      </c>
      <c r="X58" s="17">
        <f>IF(ISNA(VLOOKUP(A58,'Données projet'!$A$35:$I$55,6,0)),0%,VLOOKUP(A58,'Données projet'!$A$35:$I$55,6,0)*VLOOKUP('Données projet'!$B$9,Paramètres!$A$1:$I$89,7,0))</f>
        <v>0.17200000000000001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19.697571875016848</v>
      </c>
      <c r="AA58" s="23">
        <f>EXP(-LN(2)/25)*AA57+(1-EXP(-LN(2)/25))/(LN(2)/25)*Calculateur!V58*Calculateur!X58*VLOOKUP('Données projet'!$B$9,Paramètres!$A$1:$I$89,3,0)*0.475*44/12</f>
        <v>14.194266497456191</v>
      </c>
      <c r="AB58" s="23">
        <f>EXP(-LN(2)/2)*AB57+(1-EXP(-LN(2)/2))/(LN(2)/2)*V58*Y58*VLOOKUP('Données projet'!$B$9,Paramètres!$A$1:$I$89,3,0)*0.475*44/12</f>
        <v>0</v>
      </c>
      <c r="AC58" s="24">
        <f t="shared" si="3"/>
        <v>33.891838372473039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127</v>
      </c>
      <c r="AG58" s="13">
        <f>VLOOKUP(A58,'Données projet'!$A$61:$I$81,9,0)</f>
        <v>5</v>
      </c>
      <c r="AH58" s="13">
        <f t="array" ref="AH58">INDEX(AG:AG,MIN(IF(ISNUMBER(AG58:AG254),ROW(AG58:AG254),"")))</f>
        <v>5</v>
      </c>
      <c r="AI58" s="14">
        <f>IF('Données projet'!$A$62&gt;35,AI57+AH58-AQ57,IF(A58&lt;'Données projet'!$A$62,$AF$205^A58,IF(A58='Données projet'!$A$62,'Données projet'!$B$62,AI57+AH58-AQ57)))</f>
        <v>127.00000000000001</v>
      </c>
      <c r="AJ58" s="14">
        <f>AI58*VLOOKUP('Données projet'!$B$10,Paramètres!$A$1:$I$89,3,0)*VLOOKUP('Données projet'!$B$10,Paramètres!$A$1:$I$89,5,0)</f>
        <v>122.83440000000002</v>
      </c>
      <c r="AK58" s="14">
        <f t="shared" si="35"/>
        <v>32.335175665203089</v>
      </c>
      <c r="AL58" s="22">
        <f t="shared" si="4"/>
        <v>270.2536776168954</v>
      </c>
      <c r="AM58" s="62">
        <f t="shared" si="5"/>
        <v>528.57613309736678</v>
      </c>
      <c r="AN58" s="62">
        <f ca="1">AVERAGE(OFFSET($AM$3,0,0,'Données projet'!$E$10+1,1))-AVERAGE(OFFSET($H$3,0,0,'Données projet'!$E$10+1,1))</f>
        <v>265.30115826265654</v>
      </c>
      <c r="AO58" s="62">
        <f t="shared" si="36"/>
        <v>187.99130270616999</v>
      </c>
      <c r="AP58" s="16">
        <f>IF(ISNA(VLOOKUP(A58,'Données projet'!$A$61:$I$81,3,0)),0,VLOOKUP(A58,'Données projet'!$A$61:$I$81,3,0))</f>
        <v>8</v>
      </c>
      <c r="AQ58" s="16">
        <f>IF(ISNA(VLOOKUP(A58,'Données projet'!$A$61:$I$81,4,0)),0,VLOOKUP(A58,'Données projet'!$A$61:$I$81,4,0))</f>
        <v>14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127</v>
      </c>
      <c r="BB58" s="13">
        <f>VLOOKUP(A58,'Données projet'!$A$87:$I$107,9,0)</f>
        <v>5</v>
      </c>
      <c r="BC58" s="13">
        <f t="array" ref="BC58">INDEX(BB:BB,MIN(IF(ISNUMBER(BB58:BB254),ROW(BB58:BB254),"")))</f>
        <v>5</v>
      </c>
      <c r="BD58" s="13">
        <f>IF('Données projet'!$A$88&gt;35,BD57+BC58-BL57,IF(A58&lt;'Données projet'!$A$88,$BA$205^A58,IF(A58='Données projet'!$A$88,'Données projet'!$B$88,BD57+BC58-BL57)))</f>
        <v>127.00000000000001</v>
      </c>
      <c r="BE58" s="14">
        <f>BD58*VLOOKUP('Données projet'!$B$11,Paramètres!$A$1:$I$89,3,0)*VLOOKUP('Données projet'!$B$11,Paramètres!$A$1:$I$89,5,0)</f>
        <v>136.70280000000002</v>
      </c>
      <c r="BF58" s="14">
        <f t="shared" si="37"/>
        <v>35.54061874463067</v>
      </c>
      <c r="BG58" s="22">
        <f t="shared" si="7"/>
        <v>299.99062098023177</v>
      </c>
      <c r="BH58" s="62">
        <f t="shared" si="8"/>
        <v>558.31307646070309</v>
      </c>
      <c r="BI58" s="62">
        <f ca="1">AVERAGE(OFFSET($BH$3,0,0,'Données projet'!$E$11+1,1))-AVERAGE(OFFSET($H$3,0,0,'Données projet'!$E$11+1,1))</f>
        <v>287.77879820226661</v>
      </c>
      <c r="BJ58" s="62">
        <f t="shared" si="38"/>
        <v>202.51334141855753</v>
      </c>
      <c r="BK58" s="16">
        <f>IF(ISNA(VLOOKUP(A58,'Données projet'!$A$87:$I$107,3,0)),0,VLOOKUP(A58,'Données projet'!$A$87:$I$107,3,0))</f>
        <v>8</v>
      </c>
      <c r="BL58" s="16">
        <f>IF(ISNA(VLOOKUP(A58,'Données projet'!$A$87:$I$107,4,0)),0,VLOOKUP(A58,'Données projet'!$A$87:$I$107,4,0))</f>
        <v>14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9.4</v>
      </c>
      <c r="N59" s="14">
        <f>IF('Données projet'!$A$36&gt;35,N58+M59-V58,IF(A59&lt;'Données projet'!$A$36,$K$205^A59,IF(A59='Données projet'!$A$36,'Données projet'!$B$36,N58+M59-V58)))</f>
        <v>235.39999999999998</v>
      </c>
      <c r="O59" s="14">
        <f>N59*VLOOKUP('Données projet'!$B$9,Paramètres!$A$1:$I$89,3,0)*VLOOKUP('Données projet'!$B$9,Paramètres!$A$1:$I$89,5,0)</f>
        <v>212.98991999999998</v>
      </c>
      <c r="P59" s="14">
        <f t="shared" si="33"/>
        <v>52.588419883221171</v>
      </c>
      <c r="Q59" s="22">
        <f t="shared" si="53"/>
        <v>462.54894196327677</v>
      </c>
      <c r="R59" s="62">
        <f t="shared" si="0"/>
        <v>721.47875790189846</v>
      </c>
      <c r="S59" s="62">
        <f ca="1">AVERAGE(OFFSET($R$3,0,0,'Données projet'!$E$9+1,1))-AVERAGE(OFFSET($H$3,0,0,'Données projet'!$E$9+1,1))</f>
        <v>435.66722289172486</v>
      </c>
      <c r="T59" s="62">
        <f t="shared" si="34"/>
        <v>297.32483725004136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19.311314504880293</v>
      </c>
      <c r="AA59" s="23">
        <f>EXP(-LN(2)/25)*AA58+(1-EXP(-LN(2)/25))/(LN(2)/25)*Calculateur!V59*Calculateur!X59*VLOOKUP('Données projet'!$B$9,Paramètres!$A$1:$I$89,3,0)*0.475*44/12</f>
        <v>13.806123533639218</v>
      </c>
      <c r="AB59" s="23">
        <f>EXP(-LN(2)/2)*AB58+(1-EXP(-LN(2)/2))/(LN(2)/2)*V59*Y59*VLOOKUP('Données projet'!$B$9,Paramètres!$A$1:$I$89,3,0)*0.475*44/12</f>
        <v>0</v>
      </c>
      <c r="AC59" s="24">
        <f t="shared" si="3"/>
        <v>33.117438038519509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4.8</v>
      </c>
      <c r="AI59" s="14">
        <f>IF('Données projet'!$A$62&gt;35,AI58+AH59-AQ58,IF(A59&lt;'Données projet'!$A$62,$AF$205^A59,IF(A59='Données projet'!$A$62,'Données projet'!$B$62,AI58+AH59-AQ58)))</f>
        <v>117.80000000000001</v>
      </c>
      <c r="AJ59" s="14">
        <f>AI59*VLOOKUP('Données projet'!$B$10,Paramètres!$A$1:$I$89,3,0)*VLOOKUP('Données projet'!$B$10,Paramètres!$A$1:$I$89,5,0)</f>
        <v>113.93616</v>
      </c>
      <c r="AK59" s="14">
        <f t="shared" si="35"/>
        <v>30.256468441693912</v>
      </c>
      <c r="AL59" s="22">
        <f t="shared" si="4"/>
        <v>251.13549453595022</v>
      </c>
      <c r="AM59" s="62">
        <f t="shared" si="5"/>
        <v>510.06531047457196</v>
      </c>
      <c r="AN59" s="62">
        <f ca="1">AVERAGE(OFFSET($AM$3,0,0,'Données projet'!$E$10+1,1))-AVERAGE(OFFSET($H$3,0,0,'Données projet'!$E$10+1,1))</f>
        <v>265.30115826265654</v>
      </c>
      <c r="AO59" s="62">
        <f t="shared" si="36"/>
        <v>187.99130270616999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4.8</v>
      </c>
      <c r="BD59" s="13">
        <f>IF('Données projet'!$A$88&gt;35,BD58+BC59-BL58,IF(A59&lt;'Données projet'!$A$88,$BA$205^A59,IF(A59='Données projet'!$A$88,'Données projet'!$B$88,BD58+BC59-BL58)))</f>
        <v>117.80000000000001</v>
      </c>
      <c r="BE59" s="14">
        <f>BD59*VLOOKUP('Données projet'!$B$11,Paramètres!$A$1:$I$89,3,0)*VLOOKUP('Données projet'!$B$11,Paramètres!$A$1:$I$89,5,0)</f>
        <v>126.79992</v>
      </c>
      <c r="BF59" s="14">
        <f t="shared" si="37"/>
        <v>33.255845602298514</v>
      </c>
      <c r="BG59" s="22">
        <f t="shared" si="7"/>
        <v>278.76379175733655</v>
      </c>
      <c r="BH59" s="62">
        <f t="shared" si="8"/>
        <v>537.69360769595824</v>
      </c>
      <c r="BI59" s="62">
        <f ca="1">AVERAGE(OFFSET($BH$3,0,0,'Données projet'!$E$11+1,1))-AVERAGE(OFFSET($H$3,0,0,'Données projet'!$E$11+1,1))</f>
        <v>287.77879820226661</v>
      </c>
      <c r="BJ59" s="62">
        <f t="shared" si="38"/>
        <v>202.51334141855753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9.4</v>
      </c>
      <c r="N60" s="14">
        <f>IF('Données projet'!$A$36&gt;35,N59+M60-V59,IF(A60&lt;'Données projet'!$A$36,$K$205^A60,IF(A60='Données projet'!$A$36,'Données projet'!$B$36,N59+M60-V59)))</f>
        <v>244.79999999999998</v>
      </c>
      <c r="O60" s="14">
        <f>N60*VLOOKUP('Données projet'!$B$9,Paramètres!$A$1:$I$89,3,0)*VLOOKUP('Données projet'!$B$9,Paramètres!$A$1:$I$89,5,0)</f>
        <v>221.49503999999999</v>
      </c>
      <c r="P60" s="14">
        <f t="shared" si="33"/>
        <v>54.439697086174412</v>
      </c>
      <c r="Q60" s="22">
        <f t="shared" si="53"/>
        <v>480.58633375842032</v>
      </c>
      <c r="R60" s="62">
        <f t="shared" si="0"/>
        <v>740.11297380909809</v>
      </c>
      <c r="S60" s="62">
        <f ca="1">AVERAGE(OFFSET($R$3,0,0,'Données projet'!$E$9+1,1))-AVERAGE(OFFSET($H$3,0,0,'Données projet'!$E$9+1,1))</f>
        <v>435.66722289172486</v>
      </c>
      <c r="T60" s="62">
        <f t="shared" si="34"/>
        <v>297.32483725004136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18.932631406178384</v>
      </c>
      <c r="AA60" s="23">
        <f>EXP(-LN(2)/25)*AA59+(1-EXP(-LN(2)/25))/(LN(2)/25)*Calculateur!V60*Calculateur!X60*VLOOKUP('Données projet'!$B$9,Paramètres!$A$1:$I$89,3,0)*0.475*44/12</f>
        <v>13.428594359579371</v>
      </c>
      <c r="AB60" s="23">
        <f>EXP(-LN(2)/2)*AB59+(1-EXP(-LN(2)/2))/(LN(2)/2)*V60*Y60*VLOOKUP('Données projet'!$B$9,Paramètres!$A$1:$I$89,3,0)*0.475*44/12</f>
        <v>0</v>
      </c>
      <c r="AC60" s="24">
        <f t="shared" si="3"/>
        <v>32.361225765757752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4.8</v>
      </c>
      <c r="AI60" s="14">
        <f>IF('Données projet'!$A$62&gt;35,AI59+AH60-AQ59,IF(A60&lt;'Données projet'!$A$62,$AF$205^A60,IF(A60='Données projet'!$A$62,'Données projet'!$B$62,AI59+AH60-AQ59)))</f>
        <v>122.60000000000001</v>
      </c>
      <c r="AJ60" s="14">
        <f>AI60*VLOOKUP('Données projet'!$B$10,Paramètres!$A$1:$I$89,3,0)*VLOOKUP('Données projet'!$B$10,Paramètres!$A$1:$I$89,5,0)</f>
        <v>118.57872</v>
      </c>
      <c r="AK60" s="14">
        <f t="shared" si="35"/>
        <v>31.343279557590133</v>
      </c>
      <c r="AL60" s="22">
        <f t="shared" si="4"/>
        <v>261.11414922946949</v>
      </c>
      <c r="AM60" s="62">
        <f t="shared" si="5"/>
        <v>520.64078928014715</v>
      </c>
      <c r="AN60" s="62">
        <f ca="1">AVERAGE(OFFSET($AM$3,0,0,'Données projet'!$E$10+1,1))-AVERAGE(OFFSET($H$3,0,0,'Données projet'!$E$10+1,1))</f>
        <v>265.30115826265654</v>
      </c>
      <c r="AO60" s="62">
        <f t="shared" si="36"/>
        <v>187.99130270616999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4.8</v>
      </c>
      <c r="BD60" s="13">
        <f>IF('Données projet'!$A$88&gt;35,BD59+BC60-BL59,IF(A60&lt;'Données projet'!$A$88,$BA$205^A60,IF(A60='Données projet'!$A$88,'Données projet'!$B$88,BD59+BC60-BL59)))</f>
        <v>122.60000000000001</v>
      </c>
      <c r="BE60" s="14">
        <f>BD60*VLOOKUP('Données projet'!$B$11,Paramètres!$A$1:$I$89,3,0)*VLOOKUP('Données projet'!$B$11,Paramètres!$A$1:$I$89,5,0)</f>
        <v>131.96663999999998</v>
      </c>
      <c r="BF60" s="14">
        <f t="shared" si="37"/>
        <v>34.450394223819067</v>
      </c>
      <c r="BG60" s="22">
        <f t="shared" si="7"/>
        <v>289.84300127315151</v>
      </c>
      <c r="BH60" s="62">
        <f t="shared" si="8"/>
        <v>549.36964132382923</v>
      </c>
      <c r="BI60" s="62">
        <f ca="1">AVERAGE(OFFSET($BH$3,0,0,'Données projet'!$E$11+1,1))-AVERAGE(OFFSET($H$3,0,0,'Données projet'!$E$11+1,1))</f>
        <v>287.77879820226661</v>
      </c>
      <c r="BJ60" s="62">
        <f t="shared" si="38"/>
        <v>202.51334141855753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9.4</v>
      </c>
      <c r="N61" s="14">
        <f>IF('Données projet'!$A$36&gt;35,N60+M61-V60,IF(A61&lt;'Données projet'!$A$36,$K$205^A61,IF(A61='Données projet'!$A$36,'Données projet'!$B$36,N60+M61-V60)))</f>
        <v>254.2</v>
      </c>
      <c r="O61" s="14">
        <f>N61*VLOOKUP('Données projet'!$B$9,Paramètres!$A$1:$I$89,3,0)*VLOOKUP('Données projet'!$B$9,Paramètres!$A$1:$I$89,5,0)</f>
        <v>230.00015999999997</v>
      </c>
      <c r="P61" s="14">
        <f t="shared" si="33"/>
        <v>56.282716126880423</v>
      </c>
      <c r="Q61" s="22">
        <f t="shared" si="53"/>
        <v>498.60934258765002</v>
      </c>
      <c r="R61" s="62">
        <f t="shared" si="0"/>
        <v>758.7224531863385</v>
      </c>
      <c r="S61" s="62">
        <f ca="1">AVERAGE(OFFSET($R$3,0,0,'Données projet'!$E$9+1,1))-AVERAGE(OFFSET($H$3,0,0,'Données projet'!$E$9+1,1))</f>
        <v>435.66722289172486</v>
      </c>
      <c r="T61" s="62">
        <f t="shared" si="34"/>
        <v>297.32483725004136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18.561374052068135</v>
      </c>
      <c r="AA61" s="23">
        <f>EXP(-LN(2)/25)*AA60+(1-EXP(-LN(2)/25))/(LN(2)/25)*Calculateur!V61*Calculateur!X61*VLOOKUP('Données projet'!$B$9,Paramètres!$A$1:$I$89,3,0)*0.475*44/12</f>
        <v>13.061388740637588</v>
      </c>
      <c r="AB61" s="23">
        <f>EXP(-LN(2)/2)*AB60+(1-EXP(-LN(2)/2))/(LN(2)/2)*V61*Y61*VLOOKUP('Données projet'!$B$9,Paramètres!$A$1:$I$89,3,0)*0.475*44/12</f>
        <v>0</v>
      </c>
      <c r="AC61" s="24">
        <f t="shared" si="3"/>
        <v>31.622762792705721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4.8</v>
      </c>
      <c r="AI61" s="14">
        <f>IF('Données projet'!$A$62&gt;35,AI60+AH61-AQ60,IF(A61&lt;'Données projet'!$A$62,$AF$205^A61,IF(A61='Données projet'!$A$62,'Données projet'!$B$62,AI60+AH61-AQ60)))</f>
        <v>127.4</v>
      </c>
      <c r="AJ61" s="14">
        <f>AI61*VLOOKUP('Données projet'!$B$10,Paramètres!$A$1:$I$89,3,0)*VLOOKUP('Données projet'!$B$10,Paramètres!$A$1:$I$89,5,0)</f>
        <v>123.22128000000001</v>
      </c>
      <c r="AK61" s="14">
        <f t="shared" si="35"/>
        <v>32.425147728236503</v>
      </c>
      <c r="AL61" s="22">
        <f t="shared" si="4"/>
        <v>271.08419496001193</v>
      </c>
      <c r="AM61" s="62">
        <f t="shared" si="5"/>
        <v>531.19730555870035</v>
      </c>
      <c r="AN61" s="62">
        <f ca="1">AVERAGE(OFFSET($AM$3,0,0,'Données projet'!$E$10+1,1))-AVERAGE(OFFSET($H$3,0,0,'Données projet'!$E$10+1,1))</f>
        <v>265.30115826265654</v>
      </c>
      <c r="AO61" s="62">
        <f t="shared" si="36"/>
        <v>187.99130270616999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4.8</v>
      </c>
      <c r="BD61" s="13">
        <f>IF('Données projet'!$A$88&gt;35,BD60+BC61-BL60,IF(A61&lt;'Données projet'!$A$88,$BA$205^A61,IF(A61='Données projet'!$A$88,'Données projet'!$B$88,BD60+BC61-BL60)))</f>
        <v>127.4</v>
      </c>
      <c r="BE61" s="14">
        <f>BD61*VLOOKUP('Données projet'!$B$11,Paramètres!$A$1:$I$89,3,0)*VLOOKUP('Données projet'!$B$11,Paramètres!$A$1:$I$89,5,0)</f>
        <v>137.13335999999998</v>
      </c>
      <c r="BF61" s="14">
        <f t="shared" si="37"/>
        <v>35.639509897196163</v>
      </c>
      <c r="BG61" s="22">
        <f t="shared" si="7"/>
        <v>300.91274840428326</v>
      </c>
      <c r="BH61" s="62">
        <f t="shared" si="8"/>
        <v>561.02585900297163</v>
      </c>
      <c r="BI61" s="62">
        <f ca="1">AVERAGE(OFFSET($BH$3,0,0,'Données projet'!$E$11+1,1))-AVERAGE(OFFSET($H$3,0,0,'Données projet'!$E$11+1,1))</f>
        <v>287.77879820226661</v>
      </c>
      <c r="BJ61" s="62">
        <f t="shared" si="38"/>
        <v>202.51334141855753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9.4</v>
      </c>
      <c r="N62" s="14">
        <f>IF('Données projet'!$A$36&gt;35,N61+M62-V61,IF(A62&lt;'Données projet'!$A$36,$K$205^A62,IF(A62='Données projet'!$A$36,'Données projet'!$B$36,N61+M62-V61)))</f>
        <v>263.59999999999997</v>
      </c>
      <c r="O62" s="14">
        <f>N62*VLOOKUP('Données projet'!$B$9,Paramètres!$A$1:$I$89,3,0)*VLOOKUP('Données projet'!$B$9,Paramètres!$A$1:$I$89,5,0)</f>
        <v>238.50527999999997</v>
      </c>
      <c r="P62" s="14">
        <f t="shared" si="33"/>
        <v>58.117817352909881</v>
      </c>
      <c r="Q62" s="22">
        <f t="shared" si="53"/>
        <v>516.61856122298457</v>
      </c>
      <c r="R62" s="62">
        <f t="shared" si="0"/>
        <v>777.30796841682741</v>
      </c>
      <c r="S62" s="62">
        <f ca="1">AVERAGE(OFFSET($R$3,0,0,'Données projet'!$E$9+1,1))-AVERAGE(OFFSET($H$3,0,0,'Données projet'!$E$9+1,1))</f>
        <v>435.66722289172486</v>
      </c>
      <c r="T62" s="62">
        <f t="shared" si="34"/>
        <v>297.32483725004136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18.197396828227365</v>
      </c>
      <c r="AA62" s="23">
        <f>EXP(-LN(2)/25)*AA61+(1-EXP(-LN(2)/25))/(LN(2)/25)*Calculateur!V62*Calculateur!X62*VLOOKUP('Données projet'!$B$9,Paramètres!$A$1:$I$89,3,0)*0.475*44/12</f>
        <v>12.704224378656271</v>
      </c>
      <c r="AB62" s="23">
        <f>EXP(-LN(2)/2)*AB61+(1-EXP(-LN(2)/2))/(LN(2)/2)*V62*Y62*VLOOKUP('Données projet'!$B$9,Paramètres!$A$1:$I$89,3,0)*0.475*44/12</f>
        <v>0</v>
      </c>
      <c r="AC62" s="24">
        <f t="shared" si="3"/>
        <v>30.901621206883636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4.8</v>
      </c>
      <c r="AI62" s="14">
        <f>IF('Données projet'!$A$62&gt;35,AI61+AH62-AQ61,IF(A62&lt;'Données projet'!$A$62,$AF$205^A62,IF(A62='Données projet'!$A$62,'Données projet'!$B$62,AI61+AH62-AQ61)))</f>
        <v>132.20000000000002</v>
      </c>
      <c r="AJ62" s="14">
        <f>AI62*VLOOKUP('Données projet'!$B$10,Paramètres!$A$1:$I$89,3,0)*VLOOKUP('Données projet'!$B$10,Paramètres!$A$1:$I$89,5,0)</f>
        <v>127.86384000000002</v>
      </c>
      <c r="AK62" s="14">
        <f t="shared" si="35"/>
        <v>33.502280509335201</v>
      </c>
      <c r="AL62" s="22">
        <f t="shared" si="4"/>
        <v>281.04599322042549</v>
      </c>
      <c r="AM62" s="62">
        <f t="shared" si="5"/>
        <v>541.73540041426827</v>
      </c>
      <c r="AN62" s="62">
        <f ca="1">AVERAGE(OFFSET($AM$3,0,0,'Données projet'!$E$10+1,1))-AVERAGE(OFFSET($H$3,0,0,'Données projet'!$E$10+1,1))</f>
        <v>265.30115826265654</v>
      </c>
      <c r="AO62" s="62">
        <f t="shared" si="36"/>
        <v>187.99130270616999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4.8</v>
      </c>
      <c r="BD62" s="13">
        <f>IF('Données projet'!$A$88&gt;35,BD61+BC62-BL61,IF(A62&lt;'Données projet'!$A$88,$BA$205^A62,IF(A62='Données projet'!$A$88,'Données projet'!$B$88,BD61+BC62-BL61)))</f>
        <v>132.20000000000002</v>
      </c>
      <c r="BE62" s="14">
        <f>BD62*VLOOKUP('Données projet'!$B$11,Paramètres!$A$1:$I$89,3,0)*VLOOKUP('Données projet'!$B$11,Paramètres!$A$1:$I$89,5,0)</f>
        <v>142.30008000000001</v>
      </c>
      <c r="BF62" s="14">
        <f t="shared" si="37"/>
        <v>36.823420753495235</v>
      </c>
      <c r="BG62" s="22">
        <f t="shared" si="7"/>
        <v>311.97343047900421</v>
      </c>
      <c r="BH62" s="62">
        <f t="shared" si="8"/>
        <v>572.66283767284699</v>
      </c>
      <c r="BI62" s="62">
        <f ca="1">AVERAGE(OFFSET($BH$3,0,0,'Données projet'!$E$11+1,1))-AVERAGE(OFFSET($H$3,0,0,'Données projet'!$E$11+1,1))</f>
        <v>287.77879820226661</v>
      </c>
      <c r="BJ62" s="62">
        <f t="shared" si="38"/>
        <v>202.51334141855753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273</v>
      </c>
      <c r="L63" s="13">
        <f>VLOOKUP(A63,'Données projet'!$A$35:$I$55,9,0)</f>
        <v>9.4</v>
      </c>
      <c r="M63" s="13">
        <f t="array" ref="M63">INDEX(L:L,MIN(IF(ISNUMBER(L63:L259),ROW(L63:L259),"")))</f>
        <v>9.4</v>
      </c>
      <c r="N63" s="14">
        <f>IF('Données projet'!$A$36&gt;35,N62+M63-V62,IF(A63&lt;'Données projet'!$A$36,$K$205^A63,IF(A63='Données projet'!$A$36,'Données projet'!$B$36,N62+M63-V62)))</f>
        <v>272.99999999999994</v>
      </c>
      <c r="O63" s="14">
        <f>N63*VLOOKUP('Données projet'!$B$9,Paramètres!$A$1:$I$89,3,0)*VLOOKUP('Données projet'!$B$9,Paramètres!$A$1:$I$89,5,0)</f>
        <v>247.01039999999992</v>
      </c>
      <c r="P63" s="14">
        <f t="shared" si="33"/>
        <v>59.945315462121812</v>
      </c>
      <c r="Q63" s="22">
        <f t="shared" si="53"/>
        <v>534.61453776319524</v>
      </c>
      <c r="R63" s="62">
        <f t="shared" si="0"/>
        <v>795.87024409467267</v>
      </c>
      <c r="S63" s="62">
        <f ca="1">AVERAGE(OFFSET($R$3,0,0,'Données projet'!$E$9+1,1))-AVERAGE(OFFSET($H$3,0,0,'Données projet'!$E$9+1,1))</f>
        <v>435.66722289172486</v>
      </c>
      <c r="T63" s="62">
        <f t="shared" si="34"/>
        <v>297.32483725004136</v>
      </c>
      <c r="U63" s="16">
        <f>IF(ISNA(VLOOKUP(A63,'Données projet'!$A$35:$I$55,3,0)),0,VLOOKUP(A63,'Données projet'!$A$35:$I$55,3,0))</f>
        <v>9</v>
      </c>
      <c r="V63" s="16">
        <f>IF(ISNA(VLOOKUP(A63,'Données projet'!$A$35:$I$55,4,0)),0,VLOOKUP(A63,'Données projet'!$A$35:$I$55,4,0))</f>
        <v>28</v>
      </c>
      <c r="W63" s="17">
        <f>IF(ISNA(VLOOKUP(A63,'Données projet'!$A$35:$I$55,5,0)),0%,VLOOKUP(A63,'Données projet'!$A$35:$I$55,5,0)*VLOOKUP('Données projet'!$B$9,Paramètres!$A$1:$I$89,7,0))</f>
        <v>0.25800000000000001</v>
      </c>
      <c r="X63" s="17">
        <f>IF(ISNA(VLOOKUP(A63,'Données projet'!$A$35:$I$55,6,0)),0%,VLOOKUP(A63,'Données projet'!$A$35:$I$55,6,0)*VLOOKUP('Données projet'!$B$9,Paramètres!$A$1:$I$89,7,0))</f>
        <v>0.17200000000000001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25.066215601817735</v>
      </c>
      <c r="AA63" s="23">
        <f>EXP(-LN(2)/25)*AA62+(1-EXP(-LN(2)/25))/(LN(2)/25)*Calculateur!V63*Calculateur!X63*VLOOKUP('Données projet'!$B$9,Paramètres!$A$1:$I$89,3,0)*0.475*44/12</f>
        <v>17.154965664851236</v>
      </c>
      <c r="AB63" s="23">
        <f>EXP(-LN(2)/2)*AB62+(1-EXP(-LN(2)/2))/(LN(2)/2)*V63*Y63*VLOOKUP('Données projet'!$B$9,Paramètres!$A$1:$I$89,3,0)*0.475*44/12</f>
        <v>0</v>
      </c>
      <c r="AC63" s="24">
        <f t="shared" si="3"/>
        <v>42.221181266668971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137</v>
      </c>
      <c r="AG63" s="13">
        <f>VLOOKUP(A63,'Données projet'!$A$61:$I$81,9,0)</f>
        <v>4.8</v>
      </c>
      <c r="AH63" s="13">
        <f t="array" ref="AH63">INDEX(AG:AG,MIN(IF(ISNUMBER(AG63:AG259),ROW(AG63:AG259),"")))</f>
        <v>4.8</v>
      </c>
      <c r="AI63" s="14">
        <f>IF('Données projet'!$A$62&gt;35,AI62+AH63-AQ62,IF(A63&lt;'Données projet'!$A$62,$AF$205^A63,IF(A63='Données projet'!$A$62,'Données projet'!$B$62,AI62+AH63-AQ62)))</f>
        <v>137.00000000000003</v>
      </c>
      <c r="AJ63" s="14">
        <f>AI63*VLOOKUP('Données projet'!$B$10,Paramètres!$A$1:$I$89,3,0)*VLOOKUP('Données projet'!$B$10,Paramètres!$A$1:$I$89,5,0)</f>
        <v>132.50640000000001</v>
      </c>
      <c r="AK63" s="14">
        <f t="shared" si="35"/>
        <v>34.574869530248939</v>
      </c>
      <c r="AL63" s="22">
        <f t="shared" si="4"/>
        <v>290.99987776518356</v>
      </c>
      <c r="AM63" s="62">
        <f t="shared" si="5"/>
        <v>552.2555840966611</v>
      </c>
      <c r="AN63" s="62">
        <f ca="1">AVERAGE(OFFSET($AM$3,0,0,'Données projet'!$E$10+1,1))-AVERAGE(OFFSET($H$3,0,0,'Données projet'!$E$10+1,1))</f>
        <v>265.30115826265654</v>
      </c>
      <c r="AO63" s="62">
        <f t="shared" si="36"/>
        <v>187.99130270616999</v>
      </c>
      <c r="AP63" s="16">
        <f>IF(ISNA(VLOOKUP(A63,'Données projet'!$A$61:$I$81,3,0)),0,VLOOKUP(A63,'Données projet'!$A$61:$I$81,3,0))</f>
        <v>9</v>
      </c>
      <c r="AQ63" s="16">
        <f>IF(ISNA(VLOOKUP(A63,'Données projet'!$A$61:$I$81,4,0)),0,VLOOKUP(A63,'Données projet'!$A$61:$I$81,4,0))</f>
        <v>14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137</v>
      </c>
      <c r="BB63" s="13">
        <f>VLOOKUP(A63,'Données projet'!$A$87:$I$107,9,0)</f>
        <v>4.8</v>
      </c>
      <c r="BC63" s="13">
        <f t="array" ref="BC63">INDEX(BB:BB,MIN(IF(ISNUMBER(BB63:BB259),ROW(BB63:BB259),"")))</f>
        <v>4.8</v>
      </c>
      <c r="BD63" s="13">
        <f>IF('Données projet'!$A$88&gt;35,BD62+BC63-BL62,IF(A63&lt;'Données projet'!$A$88,$BA$205^A63,IF(A63='Données projet'!$A$88,'Données projet'!$B$88,BD62+BC63-BL62)))</f>
        <v>137.00000000000003</v>
      </c>
      <c r="BE63" s="14">
        <f>BD63*VLOOKUP('Données projet'!$B$11,Paramètres!$A$1:$I$89,3,0)*VLOOKUP('Données projet'!$B$11,Paramètres!$A$1:$I$89,5,0)</f>
        <v>147.46680000000003</v>
      </c>
      <c r="BF63" s="14">
        <f t="shared" si="37"/>
        <v>38.002337418636309</v>
      </c>
      <c r="BG63" s="22">
        <f t="shared" si="7"/>
        <v>323.02541433745824</v>
      </c>
      <c r="BH63" s="62">
        <f t="shared" si="8"/>
        <v>584.28112066893573</v>
      </c>
      <c r="BI63" s="62">
        <f ca="1">AVERAGE(OFFSET($BH$3,0,0,'Données projet'!$E$11+1,1))-AVERAGE(OFFSET($H$3,0,0,'Données projet'!$E$11+1,1))</f>
        <v>287.77879820226661</v>
      </c>
      <c r="BJ63" s="62">
        <f t="shared" si="38"/>
        <v>202.51334141855753</v>
      </c>
      <c r="BK63" s="16">
        <f>IF(ISNA(VLOOKUP(A63,'Données projet'!$A$87:$I$107,3,0)),0,VLOOKUP(A63,'Données projet'!$A$87:$I$107,3,0))</f>
        <v>9</v>
      </c>
      <c r="BL63" s="16">
        <f>IF(ISNA(VLOOKUP(A63,'Données projet'!$A$87:$I$107,4,0)),0,VLOOKUP(A63,'Données projet'!$A$87:$I$107,4,0))</f>
        <v>14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8.8000000000000007</v>
      </c>
      <c r="N64" s="14">
        <f>IF('Données projet'!$A$36&gt;35,N63+M64-V63,IF(A64&lt;'Données projet'!$A$36,$K$205^A64,IF(A64='Données projet'!$A$36,'Données projet'!$B$36,N63+M64-V63)))</f>
        <v>253.79999999999995</v>
      </c>
      <c r="O64" s="14">
        <f>N64*VLOOKUP('Données projet'!$B$9,Paramètres!$A$1:$I$89,3,0)*VLOOKUP('Données projet'!$B$9,Paramètres!$A$1:$I$89,5,0)</f>
        <v>229.63823999999994</v>
      </c>
      <c r="P64" s="14">
        <f t="shared" si="33"/>
        <v>56.204453396569633</v>
      </c>
      <c r="Q64" s="22">
        <f t="shared" si="53"/>
        <v>497.84269099902531</v>
      </c>
      <c r="R64" s="62">
        <f t="shared" si="0"/>
        <v>759.65487244415465</v>
      </c>
      <c r="S64" s="62">
        <f ca="1">AVERAGE(OFFSET($R$3,0,0,'Données projet'!$E$9+1,1))-AVERAGE(OFFSET($H$3,0,0,'Données projet'!$E$9+1,1))</f>
        <v>435.66722289172486</v>
      </c>
      <c r="T64" s="62">
        <f t="shared" si="34"/>
        <v>297.32483725004136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24.574682402747953</v>
      </c>
      <c r="AA64" s="23">
        <f>EXP(-LN(2)/25)*AA63+(1-EXP(-LN(2)/25))/(LN(2)/25)*Calculateur!V64*Calculateur!X64*VLOOKUP('Données projet'!$B$9,Paramètres!$A$1:$I$89,3,0)*0.475*44/12</f>
        <v>16.685862226605444</v>
      </c>
      <c r="AB64" s="23">
        <f>EXP(-LN(2)/2)*AB63+(1-EXP(-LN(2)/2))/(LN(2)/2)*V64*Y64*VLOOKUP('Données projet'!$B$9,Paramètres!$A$1:$I$89,3,0)*0.475*44/12</f>
        <v>0</v>
      </c>
      <c r="AC64" s="24">
        <f t="shared" si="3"/>
        <v>41.260544629353397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4.4000000000000004</v>
      </c>
      <c r="AI64" s="14">
        <f>IF('Données projet'!$A$62&gt;35,AI63+AH64-AQ63,IF(A64&lt;'Données projet'!$A$62,$AF$205^A64,IF(A64='Données projet'!$A$62,'Données projet'!$B$62,AI63+AH64-AQ63)))</f>
        <v>127.40000000000003</v>
      </c>
      <c r="AJ64" s="14">
        <f>AI64*VLOOKUP('Données projet'!$B$10,Paramètres!$A$1:$I$89,3,0)*VLOOKUP('Données projet'!$B$10,Paramètres!$A$1:$I$89,5,0)</f>
        <v>123.22128000000002</v>
      </c>
      <c r="AK64" s="14">
        <f t="shared" si="35"/>
        <v>32.425147728236503</v>
      </c>
      <c r="AL64" s="22">
        <f t="shared" si="4"/>
        <v>271.08419496001193</v>
      </c>
      <c r="AM64" s="62">
        <f t="shared" si="5"/>
        <v>532.89637640514127</v>
      </c>
      <c r="AN64" s="62">
        <f ca="1">AVERAGE(OFFSET($AM$3,0,0,'Données projet'!$E$10+1,1))-AVERAGE(OFFSET($H$3,0,0,'Données projet'!$E$10+1,1))</f>
        <v>265.30115826265654</v>
      </c>
      <c r="AO64" s="62">
        <f t="shared" si="36"/>
        <v>187.99130270616999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4.4000000000000004</v>
      </c>
      <c r="BD64" s="13">
        <f>IF('Données projet'!$A$88&gt;35,BD63+BC64-BL63,IF(A64&lt;'Données projet'!$A$88,$BA$205^A64,IF(A64='Données projet'!$A$88,'Données projet'!$B$88,BD63+BC64-BL63)))</f>
        <v>127.40000000000003</v>
      </c>
      <c r="BE64" s="14">
        <f>BD64*VLOOKUP('Données projet'!$B$11,Paramètres!$A$1:$I$89,3,0)*VLOOKUP('Données projet'!$B$11,Paramètres!$A$1:$I$89,5,0)</f>
        <v>137.13336000000004</v>
      </c>
      <c r="BF64" s="14">
        <f t="shared" si="37"/>
        <v>35.639509897196163</v>
      </c>
      <c r="BG64" s="22">
        <f t="shared" si="7"/>
        <v>300.91274840428332</v>
      </c>
      <c r="BH64" s="62">
        <f t="shared" si="8"/>
        <v>562.72492984941266</v>
      </c>
      <c r="BI64" s="62">
        <f ca="1">AVERAGE(OFFSET($BH$3,0,0,'Données projet'!$E$11+1,1))-AVERAGE(OFFSET($H$3,0,0,'Données projet'!$E$11+1,1))</f>
        <v>287.77879820226661</v>
      </c>
      <c r="BJ64" s="62">
        <f t="shared" si="38"/>
        <v>202.51334141855753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8.8000000000000007</v>
      </c>
      <c r="N65" s="14">
        <f>IF('Données projet'!$A$36&gt;35,N64+M65-V64,IF(A65&lt;'Données projet'!$A$36,$K$205^A65,IF(A65='Données projet'!$A$36,'Données projet'!$B$36,N64+M65-V64)))</f>
        <v>262.59999999999997</v>
      </c>
      <c r="O65" s="14">
        <f>N65*VLOOKUP('Données projet'!$B$9,Paramètres!$A$1:$I$89,3,0)*VLOOKUP('Données projet'!$B$9,Paramètres!$A$1:$I$89,5,0)</f>
        <v>237.60047999999995</v>
      </c>
      <c r="P65" s="14">
        <f t="shared" si="33"/>
        <v>57.922960533442058</v>
      </c>
      <c r="Q65" s="22">
        <f t="shared" si="53"/>
        <v>514.70332559574479</v>
      </c>
      <c r="R65" s="62">
        <f t="shared" si="0"/>
        <v>777.06232855539611</v>
      </c>
      <c r="S65" s="62">
        <f ca="1">AVERAGE(OFFSET($R$3,0,0,'Données projet'!$E$9+1,1))-AVERAGE(OFFSET($H$3,0,0,'Données projet'!$E$9+1,1))</f>
        <v>435.66722289172486</v>
      </c>
      <c r="T65" s="62">
        <f t="shared" si="34"/>
        <v>297.32483725004136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24.092787869906282</v>
      </c>
      <c r="AA65" s="23">
        <f>EXP(-LN(2)/25)*AA64+(1-EXP(-LN(2)/25))/(LN(2)/25)*Calculateur!V65*Calculateur!X65*VLOOKUP('Données projet'!$B$9,Paramètres!$A$1:$I$89,3,0)*0.475*44/12</f>
        <v>16.229586446547561</v>
      </c>
      <c r="AB65" s="23">
        <f>EXP(-LN(2)/2)*AB64+(1-EXP(-LN(2)/2))/(LN(2)/2)*V65*Y65*VLOOKUP('Données projet'!$B$9,Paramètres!$A$1:$I$89,3,0)*0.475*44/12</f>
        <v>0</v>
      </c>
      <c r="AC65" s="24">
        <f t="shared" si="3"/>
        <v>40.322374316453846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4.4000000000000004</v>
      </c>
      <c r="AI65" s="14">
        <f>IF('Données projet'!$A$62&gt;35,AI64+AH65-AQ64,IF(A65&lt;'Données projet'!$A$62,$AF$205^A65,IF(A65='Données projet'!$A$62,'Données projet'!$B$62,AI64+AH65-AQ64)))</f>
        <v>131.80000000000004</v>
      </c>
      <c r="AJ65" s="14">
        <f>AI65*VLOOKUP('Données projet'!$B$10,Paramètres!$A$1:$I$89,3,0)*VLOOKUP('Données projet'!$B$10,Paramètres!$A$1:$I$89,5,0)</f>
        <v>127.47696000000003</v>
      </c>
      <c r="AK65" s="14">
        <f t="shared" si="35"/>
        <v>33.412695535466739</v>
      </c>
      <c r="AL65" s="22">
        <f t="shared" si="4"/>
        <v>280.21615005760458</v>
      </c>
      <c r="AM65" s="62">
        <f t="shared" si="5"/>
        <v>542.57515301725584</v>
      </c>
      <c r="AN65" s="62">
        <f ca="1">AVERAGE(OFFSET($AM$3,0,0,'Données projet'!$E$10+1,1))-AVERAGE(OFFSET($H$3,0,0,'Données projet'!$E$10+1,1))</f>
        <v>265.30115826265654</v>
      </c>
      <c r="AO65" s="62">
        <f t="shared" si="36"/>
        <v>187.99130270616999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4.4000000000000004</v>
      </c>
      <c r="BD65" s="13">
        <f>IF('Données projet'!$A$88&gt;35,BD64+BC65-BL64,IF(A65&lt;'Données projet'!$A$88,$BA$205^A65,IF(A65='Données projet'!$A$88,'Données projet'!$B$88,BD64+BC65-BL64)))</f>
        <v>131.80000000000004</v>
      </c>
      <c r="BE65" s="14">
        <f>BD65*VLOOKUP('Données projet'!$B$11,Paramètres!$A$1:$I$89,3,0)*VLOOKUP('Données projet'!$B$11,Paramètres!$A$1:$I$89,5,0)</f>
        <v>141.86952000000005</v>
      </c>
      <c r="BF65" s="14">
        <f t="shared" si="37"/>
        <v>36.724955062927386</v>
      </c>
      <c r="BG65" s="22">
        <f t="shared" si="7"/>
        <v>311.05204406793194</v>
      </c>
      <c r="BH65" s="62">
        <f t="shared" si="8"/>
        <v>573.41104702758321</v>
      </c>
      <c r="BI65" s="62">
        <f ca="1">AVERAGE(OFFSET($BH$3,0,0,'Données projet'!$E$11+1,1))-AVERAGE(OFFSET($H$3,0,0,'Données projet'!$E$11+1,1))</f>
        <v>287.77879820226661</v>
      </c>
      <c r="BJ65" s="62">
        <f t="shared" si="38"/>
        <v>202.51334141855753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8.8000000000000007</v>
      </c>
      <c r="N66" s="14">
        <f>IF('Données projet'!$A$36&gt;35,N65+M66-V65,IF(A66&lt;'Données projet'!$A$36,$K$205^A66,IF(A66='Données projet'!$A$36,'Données projet'!$B$36,N65+M66-V65)))</f>
        <v>271.39999999999998</v>
      </c>
      <c r="O66" s="14">
        <f>N66*VLOOKUP('Données projet'!$B$9,Paramètres!$A$1:$I$89,3,0)*VLOOKUP('Données projet'!$B$9,Paramètres!$A$1:$I$89,5,0)</f>
        <v>245.56271999999998</v>
      </c>
      <c r="P66" s="14">
        <f t="shared" si="33"/>
        <v>59.634776048276898</v>
      </c>
      <c r="Q66" s="22">
        <f t="shared" si="53"/>
        <v>531.55230561741564</v>
      </c>
      <c r="R66" s="62">
        <f t="shared" si="0"/>
        <v>794.44864396082176</v>
      </c>
      <c r="S66" s="62">
        <f ca="1">AVERAGE(OFFSET($R$3,0,0,'Données projet'!$E$9+1,1))-AVERAGE(OFFSET($H$3,0,0,'Données projet'!$E$9+1,1))</f>
        <v>435.66722289172486</v>
      </c>
      <c r="T66" s="62">
        <f t="shared" si="34"/>
        <v>297.32483725004136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23.620342994926993</v>
      </c>
      <c r="AA66" s="23">
        <f>EXP(-LN(2)/25)*AA65+(1-EXP(-LN(2)/25))/(LN(2)/25)*Calculateur!V66*Calculateur!X66*VLOOKUP('Données projet'!$B$9,Paramètres!$A$1:$I$89,3,0)*0.475*44/12</f>
        <v>15.785787551689859</v>
      </c>
      <c r="AB66" s="23">
        <f>EXP(-LN(2)/2)*AB65+(1-EXP(-LN(2)/2))/(LN(2)/2)*V66*Y66*VLOOKUP('Données projet'!$B$9,Paramètres!$A$1:$I$89,3,0)*0.475*44/12</f>
        <v>0</v>
      </c>
      <c r="AC66" s="24">
        <f t="shared" si="3"/>
        <v>39.406130546616851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4.4000000000000004</v>
      </c>
      <c r="AI66" s="14">
        <f>IF('Données projet'!$A$62&gt;35,AI65+AH66-AQ65,IF(A66&lt;'Données projet'!$A$62,$AF$205^A66,IF(A66='Données projet'!$A$62,'Données projet'!$B$62,AI65+AH66-AQ65)))</f>
        <v>136.20000000000005</v>
      </c>
      <c r="AJ66" s="14">
        <f>AI66*VLOOKUP('Données projet'!$B$10,Paramètres!$A$1:$I$89,3,0)*VLOOKUP('Données projet'!$B$10,Paramètres!$A$1:$I$89,5,0)</f>
        <v>131.73264000000006</v>
      </c>
      <c r="AK66" s="14">
        <f t="shared" si="35"/>
        <v>34.396412537492502</v>
      </c>
      <c r="AL66" s="22">
        <f t="shared" si="4"/>
        <v>289.3414331694662</v>
      </c>
      <c r="AM66" s="62">
        <f t="shared" si="5"/>
        <v>552.23777151287231</v>
      </c>
      <c r="AN66" s="62">
        <f ca="1">AVERAGE(OFFSET($AM$3,0,0,'Données projet'!$E$10+1,1))-AVERAGE(OFFSET($H$3,0,0,'Données projet'!$E$10+1,1))</f>
        <v>265.30115826265654</v>
      </c>
      <c r="AO66" s="62">
        <f t="shared" si="36"/>
        <v>187.99130270616999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4.4000000000000004</v>
      </c>
      <c r="BD66" s="13">
        <f>IF('Données projet'!$A$88&gt;35,BD65+BC66-BL65,IF(A66&lt;'Données projet'!$A$88,$BA$205^A66,IF(A66='Données projet'!$A$88,'Données projet'!$B$88,BD65+BC66-BL65)))</f>
        <v>136.20000000000005</v>
      </c>
      <c r="BE66" s="14">
        <f>BD66*VLOOKUP('Données projet'!$B$11,Paramètres!$A$1:$I$89,3,0)*VLOOKUP('Données projet'!$B$11,Paramètres!$A$1:$I$89,5,0)</f>
        <v>146.60568000000004</v>
      </c>
      <c r="BF66" s="14">
        <f t="shared" si="37"/>
        <v>37.806189668967654</v>
      </c>
      <c r="BG66" s="22">
        <f t="shared" si="7"/>
        <v>321.18400634011869</v>
      </c>
      <c r="BH66" s="62">
        <f t="shared" si="8"/>
        <v>584.0803446835248</v>
      </c>
      <c r="BI66" s="62">
        <f ca="1">AVERAGE(OFFSET($BH$3,0,0,'Données projet'!$E$11+1,1))-AVERAGE(OFFSET($H$3,0,0,'Données projet'!$E$11+1,1))</f>
        <v>287.77879820226661</v>
      </c>
      <c r="BJ66" s="62">
        <f t="shared" si="38"/>
        <v>202.51334141855753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8.8000000000000007</v>
      </c>
      <c r="N67" s="14">
        <f>IF('Données projet'!$A$36&gt;35,N66+M67-V66,IF(A67&lt;'Données projet'!$A$36,$K$205^A67,IF(A67='Données projet'!$A$36,'Données projet'!$B$36,N66+M67-V66)))</f>
        <v>280.2</v>
      </c>
      <c r="O67" s="14">
        <f>N67*VLOOKUP('Données projet'!$B$9,Paramètres!$A$1:$I$89,3,0)*VLOOKUP('Données projet'!$B$9,Paramètres!$A$1:$I$89,5,0)</f>
        <v>253.52495999999999</v>
      </c>
      <c r="P67" s="14">
        <f t="shared" si="33"/>
        <v>61.340141798422209</v>
      </c>
      <c r="Q67" s="22">
        <f t="shared" ref="Q67:Q98" si="54">(O67+P67)*0.475*44/12</f>
        <v>548.39005229891859</v>
      </c>
      <c r="R67" s="62">
        <f t="shared" ref="R67:R130" si="55">Q67+(I67+J67)*44/12</f>
        <v>811.81440445847329</v>
      </c>
      <c r="S67" s="62">
        <f ca="1">AVERAGE(OFFSET($R$3,0,0,'Données projet'!$E$9+1,1))-AVERAGE(OFFSET($H$3,0,0,'Données projet'!$E$9+1,1))</f>
        <v>435.66722289172486</v>
      </c>
      <c r="T67" s="62">
        <f t="shared" si="34"/>
        <v>297.32483725004136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23.157162475783132</v>
      </c>
      <c r="AA67" s="23">
        <f>EXP(-LN(2)/25)*AA66+(1-EXP(-LN(2)/25))/(LN(2)/25)*Calculateur!V67*Calculateur!X67*VLOOKUP('Données projet'!$B$9,Paramètres!$A$1:$I$89,3,0)*0.475*44/12</f>
        <v>15.354124360950411</v>
      </c>
      <c r="AB67" s="23">
        <f>EXP(-LN(2)/2)*AB66+(1-EXP(-LN(2)/2))/(LN(2)/2)*V67*Y67*VLOOKUP('Données projet'!$B$9,Paramètres!$A$1:$I$89,3,0)*0.475*44/12</f>
        <v>0</v>
      </c>
      <c r="AC67" s="24">
        <f t="shared" si="3"/>
        <v>38.511286836733547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4.4000000000000004</v>
      </c>
      <c r="AI67" s="14">
        <f>IF('Données projet'!$A$62&gt;35,AI66+AH67-AQ66,IF(A67&lt;'Données projet'!$A$62,$AF$205^A67,IF(A67='Données projet'!$A$62,'Données projet'!$B$62,AI66+AH67-AQ66)))</f>
        <v>140.60000000000005</v>
      </c>
      <c r="AJ67" s="14">
        <f>AI67*VLOOKUP('Données projet'!$B$10,Paramètres!$A$1:$I$89,3,0)*VLOOKUP('Données projet'!$B$10,Paramètres!$A$1:$I$89,5,0)</f>
        <v>135.98832000000004</v>
      </c>
      <c r="AK67" s="14">
        <f t="shared" si="35"/>
        <v>35.376436684584753</v>
      </c>
      <c r="AL67" s="22">
        <f t="shared" si="4"/>
        <v>298.46028455898517</v>
      </c>
      <c r="AM67" s="62">
        <f t="shared" si="5"/>
        <v>561.88463671853992</v>
      </c>
      <c r="AN67" s="62">
        <f ca="1">AVERAGE(OFFSET($AM$3,0,0,'Données projet'!$E$10+1,1))-AVERAGE(OFFSET($H$3,0,0,'Données projet'!$E$10+1,1))</f>
        <v>265.30115826265654</v>
      </c>
      <c r="AO67" s="62">
        <f t="shared" si="36"/>
        <v>187.99130270616999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4.4000000000000004</v>
      </c>
      <c r="BD67" s="13">
        <f>IF('Données projet'!$A$88&gt;35,BD66+BC67-BL66,IF(A67&lt;'Données projet'!$A$88,$BA$205^A67,IF(A67='Données projet'!$A$88,'Données projet'!$B$88,BD66+BC67-BL66)))</f>
        <v>140.60000000000005</v>
      </c>
      <c r="BE67" s="14">
        <f>BD67*VLOOKUP('Données projet'!$B$11,Paramètres!$A$1:$I$89,3,0)*VLOOKUP('Données projet'!$B$11,Paramètres!$A$1:$I$89,5,0)</f>
        <v>151.34184000000005</v>
      </c>
      <c r="BF67" s="14">
        <f t="shared" si="37"/>
        <v>38.883365340841927</v>
      </c>
      <c r="BG67" s="22">
        <f t="shared" si="7"/>
        <v>331.30889930196639</v>
      </c>
      <c r="BH67" s="62">
        <f t="shared" si="8"/>
        <v>594.73325146152115</v>
      </c>
      <c r="BI67" s="62">
        <f ca="1">AVERAGE(OFFSET($BH$3,0,0,'Données projet'!$E$11+1,1))-AVERAGE(OFFSET($H$3,0,0,'Données projet'!$E$11+1,1))</f>
        <v>287.77879820226661</v>
      </c>
      <c r="BJ67" s="62">
        <f t="shared" si="38"/>
        <v>202.51334141855753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289</v>
      </c>
      <c r="L68" s="13">
        <f>VLOOKUP(A68,'Données projet'!$A$35:$I$55,9,0)</f>
        <v>8.8000000000000007</v>
      </c>
      <c r="M68" s="13">
        <f t="array" ref="M68">INDEX(L:L,MIN(IF(ISNUMBER(L68:L264),ROW(L68:L264),"")))</f>
        <v>8.8000000000000007</v>
      </c>
      <c r="N68" s="14">
        <f>IF('Données projet'!$A$36&gt;35,N67+M68-V67,IF(A68&lt;'Données projet'!$A$36,$K$205^A68,IF(A68='Données projet'!$A$36,'Données projet'!$B$36,N67+M68-V67)))</f>
        <v>289</v>
      </c>
      <c r="O68" s="14">
        <f>N68*VLOOKUP('Données projet'!$B$9,Paramètres!$A$1:$I$89,3,0)*VLOOKUP('Données projet'!$B$9,Paramètres!$A$1:$I$89,5,0)</f>
        <v>261.48719999999997</v>
      </c>
      <c r="P68" s="14">
        <f t="shared" si="33"/>
        <v>63.039283586802391</v>
      </c>
      <c r="Q68" s="22">
        <f t="shared" si="54"/>
        <v>565.21695891368086</v>
      </c>
      <c r="R68" s="62">
        <f t="shared" si="55"/>
        <v>829.16016503013611</v>
      </c>
      <c r="S68" s="62">
        <f ca="1">AVERAGE(OFFSET($R$3,0,0,'Données projet'!$E$9+1,1))-AVERAGE(OFFSET($H$3,0,0,'Données projet'!$E$9+1,1))</f>
        <v>435.66722289172486</v>
      </c>
      <c r="T68" s="62">
        <f t="shared" si="34"/>
        <v>297.32483725004136</v>
      </c>
      <c r="U68" s="16">
        <f>IF(ISNA(VLOOKUP(A68,'Données projet'!$A$35:$I$55,3,0)),0,VLOOKUP(A68,'Données projet'!$A$35:$I$55,3,0))</f>
        <v>10</v>
      </c>
      <c r="V68" s="16">
        <f>IF(ISNA(VLOOKUP(A68,'Données projet'!$A$35:$I$55,4,0)),0,VLOOKUP(A68,'Données projet'!$A$35:$I$55,4,0))</f>
        <v>28</v>
      </c>
      <c r="W68" s="17">
        <f>IF(ISNA(VLOOKUP(A68,'Données projet'!$A$35:$I$55,5,0)),0%,VLOOKUP(A68,'Données projet'!$A$35:$I$55,5,0)*VLOOKUP('Données projet'!$B$9,Paramètres!$A$1:$I$89,7,0))</f>
        <v>0.27950000000000003</v>
      </c>
      <c r="X68" s="17">
        <f>IF(ISNA(VLOOKUP(A68,'Données projet'!$A$35:$I$55,6,0)),0%,VLOOKUP(A68,'Données projet'!$A$35:$I$55,6,0)*VLOOKUP('Données projet'!$B$9,Paramètres!$A$1:$I$89,7,0))</f>
        <v>0.15049999999999999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30.530861489022922</v>
      </c>
      <c r="AA68" s="23">
        <f>EXP(-LN(2)/25)*AA67+(1-EXP(-LN(2)/25))/(LN(2)/25)*Calculateur!V68*Calculateur!X68*VLOOKUP('Données projet'!$B$9,Paramètres!$A$1:$I$89,3,0)*0.475*44/12</f>
        <v>19.132636621537927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49.663498110560852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145</v>
      </c>
      <c r="AG68" s="13">
        <f>VLOOKUP(A68,'Données projet'!$A$61:$I$81,9,0)</f>
        <v>4.4000000000000004</v>
      </c>
      <c r="AH68" s="13">
        <f t="array" ref="AH68">INDEX(AG:AG,MIN(IF(ISNUMBER(AG68:AG264),ROW(AG68:AG264),"")))</f>
        <v>4.4000000000000004</v>
      </c>
      <c r="AI68" s="14">
        <f>IF('Données projet'!$A$62&gt;35,AI67+AH68-AQ67,IF(A68&lt;'Données projet'!$A$62,$AF$205^A68,IF(A68='Données projet'!$A$62,'Données projet'!$B$62,AI67+AH68-AQ67)))</f>
        <v>145.00000000000006</v>
      </c>
      <c r="AJ68" s="14">
        <f>AI68*VLOOKUP('Données projet'!$B$10,Paramètres!$A$1:$I$89,3,0)*VLOOKUP('Données projet'!$B$10,Paramètres!$A$1:$I$89,5,0)</f>
        <v>140.24400000000006</v>
      </c>
      <c r="AK68" s="14">
        <f t="shared" si="35"/>
        <v>36.352896802451752</v>
      </c>
      <c r="AL68" s="22">
        <f t="shared" ref="AL68:AL131" si="58">(AJ68+AK68)*0.475*44/12</f>
        <v>307.57292859760349</v>
      </c>
      <c r="AM68" s="62">
        <f t="shared" ref="AM68:AM131" si="59">AL68+(AD68+AE68)*44/12</f>
        <v>571.51613471405869</v>
      </c>
      <c r="AN68" s="62">
        <f ca="1">AVERAGE(OFFSET($AM$3,0,0,'Données projet'!$E$10+1,1))-AVERAGE(OFFSET($H$3,0,0,'Données projet'!$E$10+1,1))</f>
        <v>265.30115826265654</v>
      </c>
      <c r="AO68" s="62">
        <f t="shared" si="36"/>
        <v>187.99130270616999</v>
      </c>
      <c r="AP68" s="16">
        <f>IF(ISNA(VLOOKUP(A68,'Données projet'!$A$61:$I$81,3,0)),0,VLOOKUP(A68,'Données projet'!$A$61:$I$81,3,0))</f>
        <v>10</v>
      </c>
      <c r="AQ68" s="16">
        <f>IF(ISNA(VLOOKUP(A68,'Données projet'!$A$61:$I$81,4,0)),0,VLOOKUP(A68,'Données projet'!$A$61:$I$81,4,0))</f>
        <v>14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0.215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3.205653191107301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3.205653191107301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145</v>
      </c>
      <c r="BB68" s="13">
        <f>VLOOKUP(A68,'Données projet'!$A$87:$I$107,9,0)</f>
        <v>4.4000000000000004</v>
      </c>
      <c r="BC68" s="13">
        <f t="array" ref="BC68">INDEX(BB:BB,MIN(IF(ISNUMBER(BB68:BB264),ROW(BB68:BB264),"")))</f>
        <v>4.4000000000000004</v>
      </c>
      <c r="BD68" s="13">
        <f>IF('Données projet'!$A$88&gt;35,BD67+BC68-BL67,IF(A68&lt;'Données projet'!$A$88,$BA$205^A68,IF(A68='Données projet'!$A$88,'Données projet'!$B$88,BD67+BC68-BL67)))</f>
        <v>145.00000000000006</v>
      </c>
      <c r="BE68" s="14">
        <f>BD68*VLOOKUP('Données projet'!$B$11,Paramètres!$A$1:$I$89,3,0)*VLOOKUP('Données projet'!$B$11,Paramètres!$A$1:$I$89,5,0)</f>
        <v>156.07800000000003</v>
      </c>
      <c r="BF68" s="14">
        <f t="shared" si="37"/>
        <v>39.956623674978466</v>
      </c>
      <c r="BG68" s="22">
        <f t="shared" ref="BG68:BG131" si="61">(BE68+BF68)*0.475*44/12</f>
        <v>341.42696956725422</v>
      </c>
      <c r="BH68" s="62">
        <f t="shared" ref="BH68:BH131" si="62">BG68+(AY68+AZ68)*44/12</f>
        <v>605.37017568370948</v>
      </c>
      <c r="BI68" s="62">
        <f ca="1">AVERAGE(OFFSET($BH$3,0,0,'Données projet'!$E$11+1,1))-AVERAGE(OFFSET($H$3,0,0,'Données projet'!$E$11+1,1))</f>
        <v>287.77879820226661</v>
      </c>
      <c r="BJ68" s="62">
        <f t="shared" si="38"/>
        <v>202.51334141855753</v>
      </c>
      <c r="BK68" s="16">
        <f>IF(ISNA(VLOOKUP(A68,'Données projet'!$A$87:$I$107,3,0)),0,VLOOKUP(A68,'Données projet'!$A$87:$I$107,3,0))</f>
        <v>10</v>
      </c>
      <c r="BL68" s="16">
        <f>IF(ISNA(VLOOKUP(A68,'Données projet'!$A$87:$I$107,4,0)),0,VLOOKUP(A68,'Données projet'!$A$87:$I$107,4,0))</f>
        <v>14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0.215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3.5675817772000613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3.5675817772000613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8.1999999999999993</v>
      </c>
      <c r="N69" s="14">
        <f>IF('Données projet'!$A$36&gt;35,N68+M69-V68,IF(A69&lt;'Données projet'!$A$36,$K$205^A69,IF(A69='Données projet'!$A$36,'Données projet'!$B$36,N68+M69-V68)))</f>
        <v>269.2</v>
      </c>
      <c r="O69" s="14">
        <f>N69*VLOOKUP('Données projet'!$B$9,Paramètres!$A$1:$I$89,3,0)*VLOOKUP('Données projet'!$B$9,Paramètres!$A$1:$I$89,5,0)</f>
        <v>243.57216</v>
      </c>
      <c r="P69" s="14">
        <f t="shared" ref="P69:P132" si="87">EXP(-1.0587+0.8836*LN(O69)+0.284)</f>
        <v>59.207435995642292</v>
      </c>
      <c r="Q69" s="22">
        <f t="shared" si="54"/>
        <v>527.34112969241028</v>
      </c>
      <c r="R69" s="62">
        <f t="shared" si="55"/>
        <v>791.79418880959736</v>
      </c>
      <c r="S69" s="62">
        <f ca="1">AVERAGE(OFFSET($R$3,0,0,'Données projet'!$E$9+1,1))-AVERAGE(OFFSET($H$3,0,0,'Données projet'!$E$9+1,1))</f>
        <v>435.66722289172486</v>
      </c>
      <c r="T69" s="62">
        <f t="shared" ref="T69:T132" si="88">$T$3</f>
        <v>297.32483725004136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29.932169917209922</v>
      </c>
      <c r="AA69" s="23">
        <f>EXP(-LN(2)/25)*AA68+(1-EXP(-LN(2)/25))/(LN(2)/25)*Calculateur!V69*Calculateur!X69*VLOOKUP('Données projet'!$B$9,Paramètres!$A$1:$I$89,3,0)*0.475*44/12</f>
        <v>18.60945366698034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48.541623584190262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4</v>
      </c>
      <c r="AI69" s="14">
        <f>IF('Données projet'!$A$62&gt;35,AI68+AH69-AQ68,IF(A69&lt;'Données projet'!$A$62,$AF$205^A69,IF(A69='Données projet'!$A$62,'Données projet'!$B$62,AI68+AH69-AQ68)))</f>
        <v>135.00000000000006</v>
      </c>
      <c r="AJ69" s="14">
        <f>AI69*VLOOKUP('Données projet'!$B$10,Paramètres!$A$1:$I$89,3,0)*VLOOKUP('Données projet'!$B$10,Paramètres!$A$1:$I$89,5,0)</f>
        <v>130.57200000000006</v>
      </c>
      <c r="AK69" s="14">
        <f t="shared" ref="AK69:AK132" si="89">EXP(-1.0587+0.8836*LN(AJ69)+0.284)</f>
        <v>34.128497946598308</v>
      </c>
      <c r="AL69" s="22">
        <f t="shared" si="58"/>
        <v>286.85336725699216</v>
      </c>
      <c r="AM69" s="62">
        <f t="shared" si="59"/>
        <v>551.30642637417918</v>
      </c>
      <c r="AN69" s="62">
        <f ca="1">AVERAGE(OFFSET($AM$3,0,0,'Données projet'!$E$10+1,1))-AVERAGE(OFFSET($H$3,0,0,'Données projet'!$E$10+1,1))</f>
        <v>265.30115826265654</v>
      </c>
      <c r="AO69" s="62">
        <f t="shared" ref="AO69:AO132" si="90">$AO$3</f>
        <v>187.99130270616999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3.1179944360184972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3.1179944360184972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4</v>
      </c>
      <c r="BD69" s="13">
        <f>IF('Données projet'!$A$88&gt;35,BD68+BC69-BL68,IF(A69&lt;'Données projet'!$A$88,$BA$205^A69,IF(A69='Données projet'!$A$88,'Données projet'!$B$88,BD68+BC69-BL68)))</f>
        <v>135.00000000000006</v>
      </c>
      <c r="BE69" s="14">
        <f>BD69*VLOOKUP('Données projet'!$B$11,Paramètres!$A$1:$I$89,3,0)*VLOOKUP('Données projet'!$B$11,Paramètres!$A$1:$I$89,5,0)</f>
        <v>145.31400000000005</v>
      </c>
      <c r="BF69" s="14">
        <f t="shared" ref="BF69:BF132" si="91">EXP(-1.0587+0.8836*LN(BE69)+0.284)</f>
        <v>37.51171623144306</v>
      </c>
      <c r="BG69" s="22">
        <f t="shared" si="61"/>
        <v>318.42145576976333</v>
      </c>
      <c r="BH69" s="62">
        <f t="shared" si="62"/>
        <v>582.87451488695046</v>
      </c>
      <c r="BI69" s="62">
        <f ca="1">AVERAGE(OFFSET($BH$3,0,0,'Données projet'!$E$11+1,1))-AVERAGE(OFFSET($H$3,0,0,'Données projet'!$E$11+1,1))</f>
        <v>287.77879820226661</v>
      </c>
      <c r="BJ69" s="62">
        <f t="shared" ref="BJ69:BJ132" si="92">$BJ$3</f>
        <v>202.51334141855753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3.4700260658915538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3.4700260658915538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8.1999999999999993</v>
      </c>
      <c r="N70" s="14">
        <f>IF('Données projet'!$A$36&gt;35,N69+M70-V69,IF(A70&lt;'Données projet'!$A$36,$K$205^A70,IF(A70='Données projet'!$A$36,'Données projet'!$B$36,N69+M70-V69)))</f>
        <v>277.39999999999998</v>
      </c>
      <c r="O70" s="14">
        <f>N70*VLOOKUP('Données projet'!$B$9,Paramètres!$A$1:$I$89,3,0)*VLOOKUP('Données projet'!$B$9,Paramètres!$A$1:$I$89,5,0)</f>
        <v>250.99151999999995</v>
      </c>
      <c r="P70" s="14">
        <f t="shared" si="87"/>
        <v>60.798211000769406</v>
      </c>
      <c r="Q70" s="22">
        <f t="shared" si="54"/>
        <v>543.03378149300659</v>
      </c>
      <c r="R70" s="62">
        <f t="shared" si="55"/>
        <v>807.98784880122344</v>
      </c>
      <c r="S70" s="62">
        <f ca="1">AVERAGE(OFFSET($R$3,0,0,'Données projet'!$E$9+1,1))-AVERAGE(OFFSET($H$3,0,0,'Données projet'!$E$9+1,1))</f>
        <v>435.66722289172486</v>
      </c>
      <c r="T70" s="62">
        <f t="shared" si="88"/>
        <v>297.32483725004136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29.345218321954373</v>
      </c>
      <c r="AA70" s="23">
        <f>EXP(-LN(2)/25)*AA69+(1-EXP(-LN(2)/25))/(LN(2)/25)*Calculateur!V70*Calculateur!X70*VLOOKUP('Données projet'!$B$9,Paramètres!$A$1:$I$89,3,0)*0.475*44/12</f>
        <v>18.100577177828125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47.445795499782498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4</v>
      </c>
      <c r="AI70" s="14">
        <f>IF('Données projet'!$A$62&gt;35,AI69+AH70-AQ69,IF(A70&lt;'Données projet'!$A$62,$AF$205^A70,IF(A70='Données projet'!$A$62,'Données projet'!$B$62,AI69+AH70-AQ69)))</f>
        <v>139.00000000000006</v>
      </c>
      <c r="AJ70" s="14">
        <f>AI70*VLOOKUP('Données projet'!$B$10,Paramètres!$A$1:$I$89,3,0)*VLOOKUP('Données projet'!$B$10,Paramètres!$A$1:$I$89,5,0)</f>
        <v>134.44080000000005</v>
      </c>
      <c r="AK70" s="14">
        <f t="shared" si="89"/>
        <v>35.020483223650409</v>
      </c>
      <c r="AL70" s="22">
        <f t="shared" si="58"/>
        <v>295.14506828119124</v>
      </c>
      <c r="AM70" s="62">
        <f t="shared" si="59"/>
        <v>560.09913558940821</v>
      </c>
      <c r="AN70" s="62">
        <f ca="1">AVERAGE(OFFSET($AM$3,0,0,'Données projet'!$E$10+1,1))-AVERAGE(OFFSET($H$3,0,0,'Données projet'!$E$10+1,1))</f>
        <v>265.30115826265654</v>
      </c>
      <c r="AO70" s="62">
        <f t="shared" si="90"/>
        <v>187.99130270616999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3.0327327141973703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3.0327327141973703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4</v>
      </c>
      <c r="BD70" s="13">
        <f>IF('Données projet'!$A$88&gt;35,BD69+BC70-BL69,IF(A70&lt;'Données projet'!$A$88,$BA$205^A70,IF(A70='Données projet'!$A$88,'Données projet'!$B$88,BD69+BC70-BL69)))</f>
        <v>139.00000000000006</v>
      </c>
      <c r="BE70" s="14">
        <f>BD70*VLOOKUP('Données projet'!$B$11,Paramètres!$A$1:$I$89,3,0)*VLOOKUP('Données projet'!$B$11,Paramètres!$A$1:$I$89,5,0)</f>
        <v>149.61960000000005</v>
      </c>
      <c r="BF70" s="14">
        <f t="shared" si="91"/>
        <v>38.492125584581245</v>
      </c>
      <c r="BG70" s="22">
        <f t="shared" si="61"/>
        <v>327.62792205981236</v>
      </c>
      <c r="BH70" s="62">
        <f t="shared" si="62"/>
        <v>592.58198936802933</v>
      </c>
      <c r="BI70" s="62">
        <f ca="1">AVERAGE(OFFSET($BH$3,0,0,'Données projet'!$E$11+1,1))-AVERAGE(OFFSET($H$3,0,0,'Données projet'!$E$11+1,1))</f>
        <v>287.77879820226661</v>
      </c>
      <c r="BJ70" s="62">
        <f t="shared" si="92"/>
        <v>202.51334141855753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3.3751380206390094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3.3751380206390094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8.1999999999999993</v>
      </c>
      <c r="N71" s="14">
        <f>IF('Données projet'!$A$36&gt;35,N70+M71-V70,IF(A71&lt;'Données projet'!$A$36,$K$205^A71,IF(A71='Données projet'!$A$36,'Données projet'!$B$36,N70+M71-V70)))</f>
        <v>285.59999999999997</v>
      </c>
      <c r="O71" s="14">
        <f>N71*VLOOKUP('Données projet'!$B$9,Paramètres!$A$1:$I$89,3,0)*VLOOKUP('Données projet'!$B$9,Paramètres!$A$1:$I$89,5,0)</f>
        <v>258.41087999999996</v>
      </c>
      <c r="P71" s="14">
        <f t="shared" si="87"/>
        <v>62.383521020316756</v>
      </c>
      <c r="Q71" s="22">
        <f t="shared" si="54"/>
        <v>558.71691511038489</v>
      </c>
      <c r="R71" s="62">
        <f t="shared" si="55"/>
        <v>824.16329923760372</v>
      </c>
      <c r="S71" s="62">
        <f ca="1">AVERAGE(OFFSET($R$3,0,0,'Données projet'!$E$9+1,1))-AVERAGE(OFFSET($H$3,0,0,'Données projet'!$E$9+1,1))</f>
        <v>435.66722289172486</v>
      </c>
      <c r="T71" s="62">
        <f t="shared" si="88"/>
        <v>297.32483725004136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28.769776489476662</v>
      </c>
      <c r="AA71" s="23">
        <f>EXP(-LN(2)/25)*AA70+(1-EXP(-LN(2)/25))/(LN(2)/25)*Calculateur!V71*Calculateur!X71*VLOOKUP('Données projet'!$B$9,Paramètres!$A$1:$I$89,3,0)*0.475*44/12</f>
        <v>17.605615943032429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46.375392432509088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4</v>
      </c>
      <c r="AI71" s="14">
        <f>IF('Données projet'!$A$62&gt;35,AI70+AH71-AQ70,IF(A71&lt;'Données projet'!$A$62,$AF$205^A71,IF(A71='Données projet'!$A$62,'Données projet'!$B$62,AI70+AH71-AQ70)))</f>
        <v>143.00000000000006</v>
      </c>
      <c r="AJ71" s="14">
        <f>AI71*VLOOKUP('Données projet'!$B$10,Paramètres!$A$1:$I$89,3,0)*VLOOKUP('Données projet'!$B$10,Paramètres!$A$1:$I$89,5,0)</f>
        <v>138.30960000000007</v>
      </c>
      <c r="AK71" s="14">
        <f t="shared" si="89"/>
        <v>35.90948523430793</v>
      </c>
      <c r="AL71" s="22">
        <f t="shared" si="58"/>
        <v>303.4315734497531</v>
      </c>
      <c r="AM71" s="62">
        <f t="shared" si="59"/>
        <v>568.87795757697199</v>
      </c>
      <c r="AN71" s="62">
        <f ca="1">AVERAGE(OFFSET($AM$3,0,0,'Données projet'!$E$10+1,1))-AVERAGE(OFFSET($H$3,0,0,'Données projet'!$E$10+1,1))</f>
        <v>265.30115826265654</v>
      </c>
      <c r="AO71" s="62">
        <f t="shared" si="90"/>
        <v>187.99130270616999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2.9498024786431611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2.9498024786431611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4</v>
      </c>
      <c r="BD71" s="13">
        <f>IF('Données projet'!$A$88&gt;35,BD70+BC71-BL70,IF(A71&lt;'Données projet'!$A$88,$BA$205^A71,IF(A71='Données projet'!$A$88,'Données projet'!$B$88,BD70+BC71-BL70)))</f>
        <v>143.00000000000006</v>
      </c>
      <c r="BE71" s="14">
        <f>BD71*VLOOKUP('Données projet'!$B$11,Paramètres!$A$1:$I$89,3,0)*VLOOKUP('Données projet'!$B$11,Paramètres!$A$1:$I$89,5,0)</f>
        <v>153.92520000000005</v>
      </c>
      <c r="BF71" s="14">
        <f t="shared" si="91"/>
        <v>39.469255934857685</v>
      </c>
      <c r="BG71" s="22">
        <f t="shared" si="61"/>
        <v>336.82867741987718</v>
      </c>
      <c r="BH71" s="62">
        <f t="shared" si="62"/>
        <v>602.27506154709602</v>
      </c>
      <c r="BI71" s="62">
        <f ca="1">AVERAGE(OFFSET($BH$3,0,0,'Données projet'!$E$11+1,1))-AVERAGE(OFFSET($H$3,0,0,'Données projet'!$E$11+1,1))</f>
        <v>287.77879820226661</v>
      </c>
      <c r="BJ71" s="62">
        <f t="shared" si="92"/>
        <v>202.51334141855753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3.2828446939738409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3.2828446939738409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8.1999999999999993</v>
      </c>
      <c r="N72" s="14">
        <f>IF('Données projet'!$A$36&gt;35,N71+M72-V71,IF(A72&lt;'Données projet'!$A$36,$K$205^A72,IF(A72='Données projet'!$A$36,'Données projet'!$B$36,N71+M72-V71)))</f>
        <v>293.79999999999995</v>
      </c>
      <c r="O72" s="14">
        <f>N72*VLOOKUP('Données projet'!$B$9,Paramètres!$A$1:$I$89,3,0)*VLOOKUP('Données projet'!$B$9,Paramètres!$A$1:$I$89,5,0)</f>
        <v>265.83023999999995</v>
      </c>
      <c r="P72" s="14">
        <f t="shared" si="87"/>
        <v>63.963540982526439</v>
      </c>
      <c r="Q72" s="22">
        <f t="shared" si="54"/>
        <v>574.39083521123348</v>
      </c>
      <c r="R72" s="62">
        <f t="shared" si="55"/>
        <v>840.32099556130004</v>
      </c>
      <c r="S72" s="62">
        <f ca="1">AVERAGE(OFFSET($R$3,0,0,'Données projet'!$E$9+1,1))-AVERAGE(OFFSET($H$3,0,0,'Données projet'!$E$9+1,1))</f>
        <v>435.66722289172486</v>
      </c>
      <c r="T72" s="62">
        <f t="shared" si="88"/>
        <v>297.32483725004136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28.20561872034898</v>
      </c>
      <c r="AA72" s="23">
        <f>EXP(-LN(2)/25)*AA71+(1-EXP(-LN(2)/25))/(LN(2)/25)*Calculateur!V72*Calculateur!X72*VLOOKUP('Données projet'!$B$9,Paramètres!$A$1:$I$89,3,0)*0.475*44/12</f>
        <v>17.124189449231103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45.329808169580083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4</v>
      </c>
      <c r="AI72" s="14">
        <f>IF('Données projet'!$A$62&gt;35,AI71+AH72-AQ71,IF(A72&lt;'Données projet'!$A$62,$AF$205^A72,IF(A72='Données projet'!$A$62,'Données projet'!$B$62,AI71+AH72-AQ71)))</f>
        <v>147.00000000000006</v>
      </c>
      <c r="AJ72" s="14">
        <f>AI72*VLOOKUP('Données projet'!$B$10,Paramètres!$A$1:$I$89,3,0)*VLOOKUP('Données projet'!$B$10,Paramètres!$A$1:$I$89,5,0)</f>
        <v>142.17840000000004</v>
      </c>
      <c r="AK72" s="14">
        <f t="shared" si="89"/>
        <v>36.795597013009356</v>
      </c>
      <c r="AL72" s="22">
        <f t="shared" si="58"/>
        <v>311.71304479765803</v>
      </c>
      <c r="AM72" s="62">
        <f t="shared" si="59"/>
        <v>577.64320514772453</v>
      </c>
      <c r="AN72" s="62">
        <f ca="1">AVERAGE(OFFSET($AM$3,0,0,'Données projet'!$E$10+1,1))-AVERAGE(OFFSET($H$3,0,0,'Données projet'!$E$10+1,1))</f>
        <v>265.30115826265654</v>
      </c>
      <c r="AO72" s="62">
        <f t="shared" si="90"/>
        <v>187.99130270616999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2.8691399747412936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2.8691399747412936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4</v>
      </c>
      <c r="BD72" s="13">
        <f>IF('Données projet'!$A$88&gt;35,BD71+BC72-BL71,IF(A72&lt;'Données projet'!$A$88,$BA$205^A72,IF(A72='Données projet'!$A$88,'Données projet'!$B$88,BD71+BC72-BL71)))</f>
        <v>147.00000000000006</v>
      </c>
      <c r="BE72" s="14">
        <f>BD72*VLOOKUP('Données projet'!$B$11,Paramètres!$A$1:$I$89,3,0)*VLOOKUP('Données projet'!$B$11,Paramètres!$A$1:$I$89,5,0)</f>
        <v>158.23080000000007</v>
      </c>
      <c r="BF72" s="14">
        <f t="shared" si="91"/>
        <v>40.443209539379019</v>
      </c>
      <c r="BG72" s="22">
        <f t="shared" si="61"/>
        <v>346.02389994775189</v>
      </c>
      <c r="BH72" s="62">
        <f t="shared" si="62"/>
        <v>611.95406029781839</v>
      </c>
      <c r="BI72" s="62">
        <f ca="1">AVERAGE(OFFSET($BH$3,0,0,'Données projet'!$E$11+1,1))-AVERAGE(OFFSET($H$3,0,0,'Données projet'!$E$11+1,1))</f>
        <v>287.77879820226661</v>
      </c>
      <c r="BJ72" s="62">
        <f t="shared" si="92"/>
        <v>202.51334141855753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3.1930751331798271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3.1930751331798271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302</v>
      </c>
      <c r="L73" s="13">
        <f>VLOOKUP(A73,'Données projet'!$A$35:$I$55,9,0)</f>
        <v>8.1999999999999993</v>
      </c>
      <c r="M73" s="13">
        <f t="array" ref="M73">INDEX(L:L,MIN(IF(ISNUMBER(L73:L269),ROW(L73:L269),"")))</f>
        <v>8.1999999999999993</v>
      </c>
      <c r="N73" s="14">
        <f>IF('Données projet'!$A$36&gt;35,N72+M73-V72,IF(A73&lt;'Données projet'!$A$36,$K$205^A73,IF(A73='Données projet'!$A$36,'Données projet'!$B$36,N72+M73-V72)))</f>
        <v>301.99999999999994</v>
      </c>
      <c r="O73" s="14">
        <f>N73*VLOOKUP('Données projet'!$B$9,Paramètres!$A$1:$I$89,3,0)*VLOOKUP('Données projet'!$B$9,Paramètres!$A$1:$I$89,5,0)</f>
        <v>273.24959999999999</v>
      </c>
      <c r="P73" s="14">
        <f t="shared" si="87"/>
        <v>65.538435495514321</v>
      </c>
      <c r="Q73" s="22">
        <f t="shared" si="54"/>
        <v>590.05582848802067</v>
      </c>
      <c r="R73" s="62">
        <f t="shared" si="55"/>
        <v>856.46137262503021</v>
      </c>
      <c r="S73" s="62">
        <f ca="1">AVERAGE(OFFSET($R$3,0,0,'Données projet'!$E$9+1,1))-AVERAGE(OFFSET($H$3,0,0,'Données projet'!$E$9+1,1))</f>
        <v>435.66722289172486</v>
      </c>
      <c r="T73" s="62">
        <f t="shared" si="88"/>
        <v>297.32483725004136</v>
      </c>
      <c r="U73" s="16">
        <f>IF(ISNA(VLOOKUP(A73,'Données projet'!$A$35:$I$55,3,0)),0,VLOOKUP(A73,'Données projet'!$A$35:$I$55,3,0))</f>
        <v>11</v>
      </c>
      <c r="V73" s="16">
        <f>IF(ISNA(VLOOKUP(A73,'Données projet'!$A$35:$I$55,4,0)),0,VLOOKUP(A73,'Données projet'!$A$35:$I$55,4,0))</f>
        <v>28</v>
      </c>
      <c r="W73" s="17">
        <f>IF(ISNA(VLOOKUP(A73,'Données projet'!$A$35:$I$55,5,0)),0%,VLOOKUP(A73,'Données projet'!$A$35:$I$55,5,0)*VLOOKUP('Données projet'!$B$9,Paramètres!$A$1:$I$89,7,0))</f>
        <v>0.30099999999999999</v>
      </c>
      <c r="X73" s="17">
        <f>IF(ISNA(VLOOKUP(A73,'Données projet'!$A$35:$I$55,6,0)),0%,VLOOKUP(A73,'Données projet'!$A$35:$I$55,6,0)*VLOOKUP('Données projet'!$B$9,Paramètres!$A$1:$I$89,7,0))</f>
        <v>0.129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36.082458804726734</v>
      </c>
      <c r="AA73" s="23">
        <f>EXP(-LN(2)/25)*AA72+(1-EXP(-LN(2)/25))/(LN(2)/25)*Calculateur!V73*Calculateur!X73*VLOOKUP('Données projet'!$B$9,Paramètres!$A$1:$I$89,3,0)*0.475*44/12</f>
        <v>20.254531815656474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56.336990620383204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151</v>
      </c>
      <c r="AG73" s="13">
        <f>VLOOKUP(A73,'Données projet'!$A$61:$I$81,9,0)</f>
        <v>4</v>
      </c>
      <c r="AH73" s="13">
        <f t="array" ref="AH73">INDEX(AG:AG,MIN(IF(ISNUMBER(AG73:AG269),ROW(AG73:AG269),"")))</f>
        <v>4</v>
      </c>
      <c r="AI73" s="14">
        <f>IF('Données projet'!$A$62&gt;35,AI72+AH73-AQ72,IF(A73&lt;'Données projet'!$A$62,$AF$205^A73,IF(A73='Données projet'!$A$62,'Données projet'!$B$62,AI72+AH73-AQ72)))</f>
        <v>151.00000000000006</v>
      </c>
      <c r="AJ73" s="14">
        <f>AI73*VLOOKUP('Données projet'!$B$10,Paramètres!$A$1:$I$89,3,0)*VLOOKUP('Données projet'!$B$10,Paramètres!$A$1:$I$89,5,0)</f>
        <v>146.04720000000006</v>
      </c>
      <c r="AK73" s="14">
        <f t="shared" si="89"/>
        <v>37.678906242902855</v>
      </c>
      <c r="AL73" s="22">
        <f t="shared" si="58"/>
        <v>319.9896350397226</v>
      </c>
      <c r="AM73" s="62">
        <f t="shared" si="59"/>
        <v>586.39517917673209</v>
      </c>
      <c r="AN73" s="62">
        <f ca="1">AVERAGE(OFFSET($AM$3,0,0,'Données projet'!$E$10+1,1))-AVERAGE(OFFSET($H$3,0,0,'Données projet'!$E$10+1,1))</f>
        <v>265.30115826265654</v>
      </c>
      <c r="AO73" s="62">
        <f t="shared" si="90"/>
        <v>187.99130270616999</v>
      </c>
      <c r="AP73" s="16">
        <f>IF(ISNA(VLOOKUP(A73,'Données projet'!$A$61:$I$81,3,0)),0,VLOOKUP(A73,'Données projet'!$A$61:$I$81,3,0))</f>
        <v>11</v>
      </c>
      <c r="AQ73" s="16">
        <f>IF(ISNA(VLOOKUP(A73,'Données projet'!$A$61:$I$81,4,0)),0,VLOOKUP(A73,'Données projet'!$A$61:$I$81,4,0))</f>
        <v>14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0.215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5.9963363823577804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5.9963363823577804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151</v>
      </c>
      <c r="BB73" s="13">
        <f>VLOOKUP(A73,'Données projet'!$A$87:$I$107,9,0)</f>
        <v>4</v>
      </c>
      <c r="BC73" s="13">
        <f t="array" ref="BC73">INDEX(BB:BB,MIN(IF(ISNUMBER(BB73:BB269),ROW(BB73:BB269),"")))</f>
        <v>4</v>
      </c>
      <c r="BD73" s="13">
        <f>IF('Données projet'!$A$88&gt;35,BD72+BC73-BL72,IF(A73&lt;'Données projet'!$A$88,$BA$205^A73,IF(A73='Données projet'!$A$88,'Données projet'!$B$88,BD72+BC73-BL72)))</f>
        <v>151.00000000000006</v>
      </c>
      <c r="BE73" s="14">
        <f>BD73*VLOOKUP('Données projet'!$B$11,Paramètres!$A$1:$I$89,3,0)*VLOOKUP('Données projet'!$B$11,Paramètres!$A$1:$I$89,5,0)</f>
        <v>162.53640000000004</v>
      </c>
      <c r="BF73" s="14">
        <f t="shared" si="91"/>
        <v>41.414082773478739</v>
      </c>
      <c r="BG73" s="22">
        <f t="shared" si="61"/>
        <v>355.21375749714224</v>
      </c>
      <c r="BH73" s="62">
        <f t="shared" si="62"/>
        <v>621.61930163415173</v>
      </c>
      <c r="BI73" s="62">
        <f ca="1">AVERAGE(OFFSET($BH$3,0,0,'Données projet'!$E$11+1,1))-AVERAGE(OFFSET($H$3,0,0,'Données projet'!$E$11+1,1))</f>
        <v>287.77879820226661</v>
      </c>
      <c r="BJ73" s="62">
        <f t="shared" si="92"/>
        <v>202.51334141855753</v>
      </c>
      <c r="BK73" s="16">
        <f>IF(ISNA(VLOOKUP(A73,'Données projet'!$A$87:$I$107,3,0)),0,VLOOKUP(A73,'Données projet'!$A$87:$I$107,3,0))</f>
        <v>11</v>
      </c>
      <c r="BL73" s="16">
        <f>IF(ISNA(VLOOKUP(A73,'Données projet'!$A$87:$I$107,4,0)),0,VLOOKUP(A73,'Données projet'!$A$87:$I$107,4,0))</f>
        <v>14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0.215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6.6733421029465632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6.6733421029465632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7.6</v>
      </c>
      <c r="N74" s="14">
        <f>IF('Données projet'!$A$36&gt;35,N73+M74-V73,IF(A74&lt;'Données projet'!$A$36,$K$205^A74,IF(A74='Données projet'!$A$36,'Données projet'!$B$36,N73+M74-V73)))</f>
        <v>281.59999999999997</v>
      </c>
      <c r="O74" s="14">
        <f>N74*VLOOKUP('Données projet'!$B$9,Paramètres!$A$1:$I$89,3,0)*VLOOKUP('Données projet'!$B$9,Paramètres!$A$1:$I$89,5,0)</f>
        <v>254.79167999999996</v>
      </c>
      <c r="P74" s="14">
        <f t="shared" si="87"/>
        <v>61.610870508448471</v>
      </c>
      <c r="Q74" s="22">
        <f t="shared" si="54"/>
        <v>551.067775468881</v>
      </c>
      <c r="R74" s="62">
        <f t="shared" si="55"/>
        <v>817.940456546929</v>
      </c>
      <c r="S74" s="62">
        <f ca="1">AVERAGE(OFFSET($R$3,0,0,'Données projet'!$E$9+1,1))-AVERAGE(OFFSET($H$3,0,0,'Données projet'!$E$9+1,1))</f>
        <v>435.66722289172486</v>
      </c>
      <c r="T74" s="62">
        <f t="shared" si="88"/>
        <v>297.32483725004136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35.374903795692795</v>
      </c>
      <c r="AA74" s="23">
        <f>EXP(-LN(2)/25)*AA73+(1-EXP(-LN(2)/25))/(LN(2)/25)*Calculateur!V74*Calculateur!X74*VLOOKUP('Données projet'!$B$9,Paramètres!$A$1:$I$89,3,0)*0.475*44/12</f>
        <v>19.70067057801781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55.075574373710609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3.8</v>
      </c>
      <c r="AI74" s="14">
        <f>IF('Données projet'!$A$62&gt;35,AI73+AH74-AQ73,IF(A74&lt;'Données projet'!$A$62,$AF$205^A74,IF(A74='Données projet'!$A$62,'Données projet'!$B$62,AI73+AH74-AQ73)))</f>
        <v>140.80000000000007</v>
      </c>
      <c r="AJ74" s="14">
        <f>AI74*VLOOKUP('Données projet'!$B$10,Paramètres!$A$1:$I$89,3,0)*VLOOKUP('Données projet'!$B$10,Paramètres!$A$1:$I$89,5,0)</f>
        <v>136.18176000000005</v>
      </c>
      <c r="AK74" s="14">
        <f t="shared" si="89"/>
        <v>35.420897613437042</v>
      </c>
      <c r="AL74" s="22">
        <f t="shared" si="58"/>
        <v>298.87462867673622</v>
      </c>
      <c r="AM74" s="62">
        <f t="shared" si="59"/>
        <v>565.74730975478417</v>
      </c>
      <c r="AN74" s="62">
        <f ca="1">AVERAGE(OFFSET($AM$3,0,0,'Données projet'!$E$10+1,1))-AVERAGE(OFFSET($H$3,0,0,'Données projet'!$E$10+1,1))</f>
        <v>265.30115826265654</v>
      </c>
      <c r="AO74" s="62">
        <f t="shared" si="90"/>
        <v>187.99130270616999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5.8323662486485812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5.8323662486485812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3.8</v>
      </c>
      <c r="BD74" s="13">
        <f>IF('Données projet'!$A$88&gt;35,BD73+BC74-BL73,IF(A74&lt;'Données projet'!$A$88,$BA$205^A74,IF(A74='Données projet'!$A$88,'Données projet'!$B$88,BD73+BC74-BL73)))</f>
        <v>140.80000000000007</v>
      </c>
      <c r="BE74" s="14">
        <f>BD74*VLOOKUP('Données projet'!$B$11,Paramètres!$A$1:$I$89,3,0)*VLOOKUP('Données projet'!$B$11,Paramètres!$A$1:$I$89,5,0)</f>
        <v>151.55712000000008</v>
      </c>
      <c r="BF74" s="14">
        <f t="shared" si="91"/>
        <v>38.932233760105618</v>
      </c>
      <c r="BG74" s="22">
        <f t="shared" si="61"/>
        <v>331.76895779885075</v>
      </c>
      <c r="BH74" s="62">
        <f t="shared" si="62"/>
        <v>598.6416388768987</v>
      </c>
      <c r="BI74" s="62">
        <f ca="1">AVERAGE(OFFSET($BH$3,0,0,'Données projet'!$E$11+1,1))-AVERAGE(OFFSET($H$3,0,0,'Données projet'!$E$11+1,1))</f>
        <v>287.77879820226661</v>
      </c>
      <c r="BJ74" s="62">
        <f t="shared" si="92"/>
        <v>202.51334141855753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6.4908592122056801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6.4908592122056801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7.6</v>
      </c>
      <c r="N75" s="14">
        <f>IF('Données projet'!$A$36&gt;35,N74+M75-V74,IF(A75&lt;'Données projet'!$A$36,$K$205^A75,IF(A75='Données projet'!$A$36,'Données projet'!$B$36,N74+M75-V74)))</f>
        <v>289.2</v>
      </c>
      <c r="O75" s="14">
        <f>N75*VLOOKUP('Données projet'!$B$9,Paramètres!$A$1:$I$89,3,0)*VLOOKUP('Données projet'!$B$9,Paramètres!$A$1:$I$89,5,0)</f>
        <v>261.66816</v>
      </c>
      <c r="P75" s="14">
        <f t="shared" si="87"/>
        <v>63.077829793082856</v>
      </c>
      <c r="Q75" s="22">
        <f t="shared" si="54"/>
        <v>565.5992655562859</v>
      </c>
      <c r="R75" s="62">
        <f t="shared" si="55"/>
        <v>832.93097979380696</v>
      </c>
      <c r="S75" s="62">
        <f ca="1">AVERAGE(OFFSET($R$3,0,0,'Données projet'!$E$9+1,1))-AVERAGE(OFFSET($H$3,0,0,'Données projet'!$E$9+1,1))</f>
        <v>435.66722289172486</v>
      </c>
      <c r="T75" s="62">
        <f t="shared" si="88"/>
        <v>297.32483725004136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34.681223508820068</v>
      </c>
      <c r="AA75" s="23">
        <f>EXP(-LN(2)/25)*AA74+(1-EXP(-LN(2)/25))/(LN(2)/25)*Calculateur!V75*Calculateur!X75*VLOOKUP('Données projet'!$B$9,Paramètres!$A$1:$I$89,3,0)*0.475*44/12</f>
        <v>19.161954705048675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53.84317821386874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3.8</v>
      </c>
      <c r="AI75" s="14">
        <f>IF('Données projet'!$A$62&gt;35,AI74+AH75-AQ74,IF(A75&lt;'Données projet'!$A$62,$AF$205^A75,IF(A75='Données projet'!$A$62,'Données projet'!$B$62,AI74+AH75-AQ74)))</f>
        <v>144.60000000000008</v>
      </c>
      <c r="AJ75" s="14">
        <f>AI75*VLOOKUP('Données projet'!$B$10,Paramètres!$A$1:$I$89,3,0)*VLOOKUP('Données projet'!$B$10,Paramètres!$A$1:$I$89,5,0)</f>
        <v>139.85712000000007</v>
      </c>
      <c r="AK75" s="14">
        <f t="shared" si="89"/>
        <v>36.264271748476894</v>
      </c>
      <c r="AL75" s="22">
        <f t="shared" si="58"/>
        <v>306.74475729526404</v>
      </c>
      <c r="AM75" s="62">
        <f t="shared" si="59"/>
        <v>574.07647153278515</v>
      </c>
      <c r="AN75" s="62">
        <f ca="1">AVERAGE(OFFSET($AM$3,0,0,'Données projet'!$E$10+1,1))-AVERAGE(OFFSET($H$3,0,0,'Données projet'!$E$10+1,1))</f>
        <v>265.30115826265654</v>
      </c>
      <c r="AO75" s="62">
        <f t="shared" si="90"/>
        <v>187.99130270616999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5.6728798868684747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5.6728798868684747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3.8</v>
      </c>
      <c r="BD75" s="13">
        <f>IF('Données projet'!$A$88&gt;35,BD74+BC75-BL74,IF(A75&lt;'Données projet'!$A$88,$BA$205^A75,IF(A75='Données projet'!$A$88,'Données projet'!$B$88,BD74+BC75-BL74)))</f>
        <v>144.60000000000008</v>
      </c>
      <c r="BE75" s="14">
        <f>BD75*VLOOKUP('Données projet'!$B$11,Paramètres!$A$1:$I$89,3,0)*VLOOKUP('Données projet'!$B$11,Paramètres!$A$1:$I$89,5,0)</f>
        <v>155.64744000000007</v>
      </c>
      <c r="BF75" s="14">
        <f t="shared" si="91"/>
        <v>39.859213062858849</v>
      </c>
      <c r="BG75" s="22">
        <f t="shared" si="61"/>
        <v>340.50742075114596</v>
      </c>
      <c r="BH75" s="62">
        <f t="shared" si="62"/>
        <v>607.83913498866707</v>
      </c>
      <c r="BI75" s="62">
        <f ca="1">AVERAGE(OFFSET($BH$3,0,0,'Données projet'!$E$11+1,1))-AVERAGE(OFFSET($H$3,0,0,'Données projet'!$E$11+1,1))</f>
        <v>287.77879820226661</v>
      </c>
      <c r="BJ75" s="62">
        <f t="shared" si="92"/>
        <v>202.51334141855753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6.3133663257084649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6.3133663257084649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7.6</v>
      </c>
      <c r="N76" s="14">
        <f>IF('Données projet'!$A$36&gt;35,N75+M76-V75,IF(A76&lt;'Données projet'!$A$36,$K$205^A76,IF(A76='Données projet'!$A$36,'Données projet'!$B$36,N75+M76-V75)))</f>
        <v>296.8</v>
      </c>
      <c r="O76" s="14">
        <f>N76*VLOOKUP('Données projet'!$B$9,Paramètres!$A$1:$I$89,3,0)*VLOOKUP('Données projet'!$B$9,Paramètres!$A$1:$I$89,5,0)</f>
        <v>268.54464000000002</v>
      </c>
      <c r="P76" s="14">
        <f t="shared" si="87"/>
        <v>64.54030807605065</v>
      </c>
      <c r="Q76" s="22">
        <f t="shared" si="54"/>
        <v>580.12295123245474</v>
      </c>
      <c r="R76" s="62">
        <f t="shared" si="55"/>
        <v>847.90573543037658</v>
      </c>
      <c r="S76" s="62">
        <f ca="1">AVERAGE(OFFSET($R$3,0,0,'Données projet'!$E$9+1,1))-AVERAGE(OFFSET($H$3,0,0,'Données projet'!$E$9+1,1))</f>
        <v>435.66722289172486</v>
      </c>
      <c r="T76" s="62">
        <f t="shared" si="88"/>
        <v>297.32483725004136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34.001145869269713</v>
      </c>
      <c r="AA76" s="23">
        <f>EXP(-LN(2)/25)*AA75+(1-EXP(-LN(2)/25))/(LN(2)/25)*Calculateur!V76*Calculateur!X76*VLOOKUP('Données projet'!$B$9,Paramètres!$A$1:$I$89,3,0)*0.475*44/12</f>
        <v>18.637970045955715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52.639115915225432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3.8</v>
      </c>
      <c r="AI76" s="14">
        <f>IF('Données projet'!$A$62&gt;35,AI75+AH76-AQ75,IF(A76&lt;'Données projet'!$A$62,$AF$205^A76,IF(A76='Données projet'!$A$62,'Données projet'!$B$62,AI75+AH76-AQ75)))</f>
        <v>148.40000000000009</v>
      </c>
      <c r="AJ76" s="14">
        <f>AI76*VLOOKUP('Données projet'!$B$10,Paramètres!$A$1:$I$89,3,0)*VLOOKUP('Données projet'!$B$10,Paramètres!$A$1:$I$89,5,0)</f>
        <v>143.53248000000008</v>
      </c>
      <c r="AK76" s="14">
        <f t="shared" si="89"/>
        <v>37.105069696880761</v>
      </c>
      <c r="AL76" s="22">
        <f t="shared" si="58"/>
        <v>314.61039905540082</v>
      </c>
      <c r="AM76" s="62">
        <f t="shared" si="59"/>
        <v>582.3931832533226</v>
      </c>
      <c r="AN76" s="62">
        <f ca="1">AVERAGE(OFFSET($AM$3,0,0,'Données projet'!$E$10+1,1))-AVERAGE(OFFSET($H$3,0,0,'Données projet'!$E$10+1,1))</f>
        <v>265.30115826265654</v>
      </c>
      <c r="AO76" s="62">
        <f t="shared" si="90"/>
        <v>187.99130270616999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5.5177546880382682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5.5177546880382682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3.8</v>
      </c>
      <c r="BD76" s="13">
        <f>IF('Données projet'!$A$88&gt;35,BD75+BC76-BL75,IF(A76&lt;'Données projet'!$A$88,$BA$205^A76,IF(A76='Données projet'!$A$88,'Données projet'!$B$88,BD75+BC76-BL75)))</f>
        <v>148.40000000000009</v>
      </c>
      <c r="BE76" s="14">
        <f>BD76*VLOOKUP('Données projet'!$B$11,Paramètres!$A$1:$I$89,3,0)*VLOOKUP('Données projet'!$B$11,Paramètres!$A$1:$I$89,5,0)</f>
        <v>159.73776000000009</v>
      </c>
      <c r="BF76" s="14">
        <f t="shared" si="91"/>
        <v>40.783360797044367</v>
      </c>
      <c r="BG76" s="22">
        <f t="shared" si="61"/>
        <v>349.24095205485241</v>
      </c>
      <c r="BH76" s="62">
        <f t="shared" si="62"/>
        <v>617.02373625277414</v>
      </c>
      <c r="BI76" s="62">
        <f ca="1">AVERAGE(OFFSET($BH$3,0,0,'Données projet'!$E$11+1,1))-AVERAGE(OFFSET($H$3,0,0,'Données projet'!$E$11+1,1))</f>
        <v>287.77879820226661</v>
      </c>
      <c r="BJ76" s="62">
        <f t="shared" si="92"/>
        <v>202.51334141855753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6.1407269915264608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6.1407269915264608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7.6</v>
      </c>
      <c r="N77" s="14">
        <f>IF('Données projet'!$A$36&gt;35,N76+M77-V76,IF(A77&lt;'Données projet'!$A$36,$K$205^A77,IF(A77='Données projet'!$A$36,'Données projet'!$B$36,N76+M77-V76)))</f>
        <v>304.40000000000003</v>
      </c>
      <c r="O77" s="14">
        <f>N77*VLOOKUP('Données projet'!$B$9,Paramètres!$A$1:$I$89,3,0)*VLOOKUP('Données projet'!$B$9,Paramètres!$A$1:$I$89,5,0)</f>
        <v>275.42112000000003</v>
      </c>
      <c r="P77" s="14">
        <f t="shared" si="87"/>
        <v>65.998433293601067</v>
      </c>
      <c r="Q77" s="22">
        <f t="shared" si="54"/>
        <v>594.63905531968851</v>
      </c>
      <c r="R77" s="62">
        <f t="shared" si="55"/>
        <v>862.86508442263937</v>
      </c>
      <c r="S77" s="62">
        <f ca="1">AVERAGE(OFFSET($R$3,0,0,'Données projet'!$E$9+1,1))-AVERAGE(OFFSET($H$3,0,0,'Données projet'!$E$9+1,1))</f>
        <v>435.66722289172486</v>
      </c>
      <c r="T77" s="62">
        <f t="shared" si="88"/>
        <v>297.32483725004136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33.334404137424542</v>
      </c>
      <c r="AA77" s="23">
        <f>EXP(-LN(2)/25)*AA76+(1-EXP(-LN(2)/25))/(LN(2)/25)*Calculateur!V77*Calculateur!X77*VLOOKUP('Données projet'!$B$9,Paramètres!$A$1:$I$89,3,0)*0.475*44/12</f>
        <v>18.128313774920809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51.462717912345354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3.8</v>
      </c>
      <c r="AI77" s="14">
        <f>IF('Données projet'!$A$62&gt;35,AI76+AH77-AQ76,IF(A77&lt;'Données projet'!$A$62,$AF$205^A77,IF(A77='Données projet'!$A$62,'Données projet'!$B$62,AI76+AH77-AQ76)))</f>
        <v>152.2000000000001</v>
      </c>
      <c r="AJ77" s="14">
        <f>AI77*VLOOKUP('Données projet'!$B$10,Paramètres!$A$1:$I$89,3,0)*VLOOKUP('Données projet'!$B$10,Paramètres!$A$1:$I$89,5,0)</f>
        <v>147.20784000000009</v>
      </c>
      <c r="AK77" s="14">
        <f t="shared" si="89"/>
        <v>37.943365010876356</v>
      </c>
      <c r="AL77" s="22">
        <f t="shared" si="58"/>
        <v>322.47168206060979</v>
      </c>
      <c r="AM77" s="62">
        <f t="shared" si="59"/>
        <v>590.6977111635606</v>
      </c>
      <c r="AN77" s="62">
        <f ca="1">AVERAGE(OFFSET($AM$3,0,0,'Données projet'!$E$10+1,1))-AVERAGE(OFFSET($H$3,0,0,'Données projet'!$E$10+1,1))</f>
        <v>265.30115826265654</v>
      </c>
      <c r="AO77" s="62">
        <f t="shared" si="90"/>
        <v>187.99130270616999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5.3668713959277534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5.3668713959277534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3.8</v>
      </c>
      <c r="BD77" s="13">
        <f>IF('Données projet'!$A$88&gt;35,BD76+BC77-BL76,IF(A77&lt;'Données projet'!$A$88,$BA$205^A77,IF(A77='Données projet'!$A$88,'Données projet'!$B$88,BD76+BC77-BL76)))</f>
        <v>152.2000000000001</v>
      </c>
      <c r="BE77" s="14">
        <f>BD77*VLOOKUP('Données projet'!$B$11,Paramètres!$A$1:$I$89,3,0)*VLOOKUP('Données projet'!$B$11,Paramètres!$A$1:$I$89,5,0)</f>
        <v>163.82808000000009</v>
      </c>
      <c r="BF77" s="14">
        <f t="shared" si="91"/>
        <v>41.704757806252232</v>
      </c>
      <c r="BG77" s="22">
        <f t="shared" si="61"/>
        <v>357.96969251255609</v>
      </c>
      <c r="BH77" s="62">
        <f t="shared" si="62"/>
        <v>626.19572161550695</v>
      </c>
      <c r="BI77" s="62">
        <f ca="1">AVERAGE(OFFSET($BH$3,0,0,'Données projet'!$E$11+1,1))-AVERAGE(OFFSET($H$3,0,0,'Données projet'!$E$11+1,1))</f>
        <v>287.77879820226661</v>
      </c>
      <c r="BJ77" s="62">
        <f t="shared" si="92"/>
        <v>202.51334141855753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5.972808489016372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5.972808489016372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312</v>
      </c>
      <c r="L78" s="13">
        <f>VLOOKUP(A78,'Données projet'!$A$35:$I$55,9,0)</f>
        <v>7.6</v>
      </c>
      <c r="M78" s="13">
        <f t="array" ref="M78">INDEX(L:L,MIN(IF(ISNUMBER(L78:L274),ROW(L78:L274),"")))</f>
        <v>7.6</v>
      </c>
      <c r="N78" s="14">
        <f>IF('Données projet'!$A$36&gt;35,N77+M78-V77,IF(A78&lt;'Données projet'!$A$36,$K$205^A78,IF(A78='Données projet'!$A$36,'Données projet'!$B$36,N77+M78-V77)))</f>
        <v>312.00000000000006</v>
      </c>
      <c r="O78" s="14">
        <f>N78*VLOOKUP('Données projet'!$B$9,Paramètres!$A$1:$I$89,3,0)*VLOOKUP('Données projet'!$B$9,Paramètres!$A$1:$I$89,5,0)</f>
        <v>282.29760000000005</v>
      </c>
      <c r="P78" s="14">
        <f t="shared" si="87"/>
        <v>67.452326629470178</v>
      </c>
      <c r="Q78" s="22">
        <f t="shared" si="54"/>
        <v>609.14778887966054</v>
      </c>
      <c r="R78" s="62">
        <f t="shared" si="55"/>
        <v>877.80937357948528</v>
      </c>
      <c r="S78" s="62">
        <f ca="1">AVERAGE(OFFSET($R$3,0,0,'Données projet'!$E$9+1,1))-AVERAGE(OFFSET($H$3,0,0,'Données projet'!$E$9+1,1))</f>
        <v>435.66722289172486</v>
      </c>
      <c r="T78" s="62">
        <f t="shared" si="88"/>
        <v>297.32483725004136</v>
      </c>
      <c r="U78" s="16">
        <f>IF(ISNA(VLOOKUP(A78,'Données projet'!$A$35:$I$55,3,0)),0,VLOOKUP(A78,'Données projet'!$A$35:$I$55,3,0))</f>
        <v>12</v>
      </c>
      <c r="V78" s="16">
        <f>IF(ISNA(VLOOKUP(A78,'Données projet'!$A$35:$I$55,4,0)),0,VLOOKUP(A78,'Données projet'!$A$35:$I$55,4,0))</f>
        <v>28</v>
      </c>
      <c r="W78" s="17">
        <f>IF(ISNA(VLOOKUP(A78,'Données projet'!$A$35:$I$55,5,0)),0%,VLOOKUP(A78,'Données projet'!$A$35:$I$55,5,0)*VLOOKUP('Données projet'!$B$9,Paramètres!$A$1:$I$89,7,0))</f>
        <v>0.30099999999999999</v>
      </c>
      <c r="X78" s="17">
        <f>IF(ISNA(VLOOKUP(A78,'Données projet'!$A$35:$I$55,6,0)),0%,VLOOKUP(A78,'Données projet'!$A$35:$I$55,6,0)*VLOOKUP('Données projet'!$B$9,Paramètres!$A$1:$I$89,7,0))</f>
        <v>0.129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41.110671868023665</v>
      </c>
      <c r="AA78" s="23">
        <f>EXP(-LN(2)/25)*AA77+(1-EXP(-LN(2)/25))/(LN(2)/25)*Calculateur!V78*Calculateur!X78*VLOOKUP('Données projet'!$B$9,Paramètres!$A$1:$I$89,3,0)*0.475*44/12</f>
        <v>21.231198308855593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62.341870176879254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156</v>
      </c>
      <c r="AG78" s="13">
        <f>VLOOKUP(A78,'Données projet'!$A$61:$I$81,9,0)</f>
        <v>3.8</v>
      </c>
      <c r="AH78" s="13">
        <f t="array" ref="AH78">INDEX(AG:AG,MIN(IF(ISNUMBER(AG78:AG274),ROW(AG78:AG274),"")))</f>
        <v>3.8</v>
      </c>
      <c r="AI78" s="14">
        <f>IF('Données projet'!$A$62&gt;35,AI77+AH78-AQ77,IF(A78&lt;'Données projet'!$A$62,$AF$205^A78,IF(A78='Données projet'!$A$62,'Données projet'!$B$62,AI77+AH78-AQ77)))</f>
        <v>156.00000000000011</v>
      </c>
      <c r="AJ78" s="14">
        <f>AI78*VLOOKUP('Données projet'!$B$10,Paramètres!$A$1:$I$89,3,0)*VLOOKUP('Données projet'!$B$10,Paramètres!$A$1:$I$89,5,0)</f>
        <v>150.8832000000001</v>
      </c>
      <c r="AK78" s="14">
        <f t="shared" si="89"/>
        <v>38.779227360583235</v>
      </c>
      <c r="AL78" s="22">
        <f t="shared" si="58"/>
        <v>330.32872765301596</v>
      </c>
      <c r="AM78" s="62">
        <f t="shared" si="59"/>
        <v>598.99031235284076</v>
      </c>
      <c r="AN78" s="62">
        <f ca="1">AVERAGE(OFFSET($AM$3,0,0,'Données projet'!$E$10+1,1))-AVERAGE(OFFSET($H$3,0,0,'Données projet'!$E$10+1,1))</f>
        <v>265.30115826265654</v>
      </c>
      <c r="AO78" s="62">
        <f t="shared" si="90"/>
        <v>187.99130270616999</v>
      </c>
      <c r="AP78" s="16">
        <f>IF(ISNA(VLOOKUP(A78,'Données projet'!$A$61:$I$81,3,0)),0,VLOOKUP(A78,'Données projet'!$A$61:$I$81,3,0))</f>
        <v>12</v>
      </c>
      <c r="AQ78" s="16">
        <f>IF(ISNA(VLOOKUP(A78,'Données projet'!$A$61:$I$81,4,0)),0,VLOOKUP(A78,'Données projet'!$A$61:$I$81,4,0))</f>
        <v>14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0.215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8.4257672064819094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8.4257672064819094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156</v>
      </c>
      <c r="BB78" s="13">
        <f>VLOOKUP(A78,'Données projet'!$A$87:$I$107,9,0)</f>
        <v>3.8</v>
      </c>
      <c r="BC78" s="13">
        <f t="array" ref="BC78">INDEX(BB:BB,MIN(IF(ISNUMBER(BB78:BB274),ROW(BB78:BB274),"")))</f>
        <v>3.8</v>
      </c>
      <c r="BD78" s="13">
        <f>IF('Données projet'!$A$88&gt;35,BD77+BC78-BL77,IF(A78&lt;'Données projet'!$A$88,$BA$205^A78,IF(A78='Données projet'!$A$88,'Données projet'!$B$88,BD77+BC78-BL77)))</f>
        <v>156.00000000000011</v>
      </c>
      <c r="BE78" s="14">
        <f>BD78*VLOOKUP('Données projet'!$B$11,Paramètres!$A$1:$I$89,3,0)*VLOOKUP('Données projet'!$B$11,Paramètres!$A$1:$I$89,5,0)</f>
        <v>167.9184000000001</v>
      </c>
      <c r="BF78" s="14">
        <f t="shared" si="91"/>
        <v>42.623480667123907</v>
      </c>
      <c r="BG78" s="22">
        <f t="shared" si="61"/>
        <v>366.69377549524097</v>
      </c>
      <c r="BH78" s="62">
        <f t="shared" si="62"/>
        <v>635.35536019506571</v>
      </c>
      <c r="BI78" s="62">
        <f ca="1">AVERAGE(OFFSET($BH$3,0,0,'Données projet'!$E$11+1,1))-AVERAGE(OFFSET($H$3,0,0,'Données projet'!$E$11+1,1))</f>
        <v>287.77879820226661</v>
      </c>
      <c r="BJ78" s="62">
        <f t="shared" si="92"/>
        <v>202.51334141855753</v>
      </c>
      <c r="BK78" s="16">
        <f>IF(ISNA(VLOOKUP(A78,'Données projet'!$A$87:$I$107,3,0)),0,VLOOKUP(A78,'Données projet'!$A$87:$I$107,3,0))</f>
        <v>12</v>
      </c>
      <c r="BL78" s="16">
        <f>IF(ISNA(VLOOKUP(A78,'Données projet'!$A$87:$I$107,4,0)),0,VLOOKUP(A78,'Données projet'!$A$87:$I$107,4,0))</f>
        <v>14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0.215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9.3770635039879338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9.3770635039879338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7.2</v>
      </c>
      <c r="N79" s="14">
        <f>IF('Données projet'!$A$36&gt;35,N78+M79-V78,IF(A79&lt;'Données projet'!$A$36,$K$205^A79,IF(A79='Données projet'!$A$36,'Données projet'!$B$36,N78+M79-V78)))</f>
        <v>291.20000000000005</v>
      </c>
      <c r="O79" s="14">
        <f>N79*VLOOKUP('Données projet'!$B$9,Paramètres!$A$1:$I$89,3,0)*VLOOKUP('Données projet'!$B$9,Paramètres!$A$1:$I$89,5,0)</f>
        <v>263.47776000000005</v>
      </c>
      <c r="P79" s="14">
        <f t="shared" si="87"/>
        <v>63.46312159763346</v>
      </c>
      <c r="Q79" s="22">
        <f t="shared" si="54"/>
        <v>569.42203544921165</v>
      </c>
      <c r="R79" s="62">
        <f t="shared" si="55"/>
        <v>838.51161983006114</v>
      </c>
      <c r="S79" s="62">
        <f ca="1">AVERAGE(OFFSET($R$3,0,0,'Données projet'!$E$9+1,1))-AVERAGE(OFFSET($H$3,0,0,'Données projet'!$E$9+1,1))</f>
        <v>435.66722289172486</v>
      </c>
      <c r="T79" s="62">
        <f t="shared" si="88"/>
        <v>297.32483725004136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40.304516667725608</v>
      </c>
      <c r="AA79" s="23">
        <f>EXP(-LN(2)/25)*AA78+(1-EXP(-LN(2)/25))/(LN(2)/25)*Calculateur!V79*Calculateur!X79*VLOOKUP('Données projet'!$B$9,Paramètres!$A$1:$I$89,3,0)*0.475*44/12</f>
        <v>20.650630074599743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60.955146742325354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3.6</v>
      </c>
      <c r="AI79" s="14">
        <f>IF('Données projet'!$A$62&gt;35,AI78+AH79-AQ78,IF(A79&lt;'Données projet'!$A$62,$AF$205^A79,IF(A79='Données projet'!$A$62,'Données projet'!$B$62,AI78+AH79-AQ78)))</f>
        <v>145.60000000000011</v>
      </c>
      <c r="AJ79" s="14">
        <f>AI79*VLOOKUP('Données projet'!$B$10,Paramètres!$A$1:$I$89,3,0)*VLOOKUP('Données projet'!$B$10,Paramètres!$A$1:$I$89,5,0)</f>
        <v>140.82432000000011</v>
      </c>
      <c r="AK79" s="14">
        <f t="shared" si="89"/>
        <v>36.485781060837837</v>
      </c>
      <c r="AL79" s="22">
        <f t="shared" si="58"/>
        <v>308.81509268095937</v>
      </c>
      <c r="AM79" s="62">
        <f t="shared" si="59"/>
        <v>577.9046770618088</v>
      </c>
      <c r="AN79" s="62">
        <f ca="1">AVERAGE(OFFSET($AM$3,0,0,'Données projet'!$E$10+1,1))-AVERAGE(OFFSET($H$3,0,0,'Données projet'!$E$10+1,1))</f>
        <v>265.30115826265654</v>
      </c>
      <c r="AO79" s="62">
        <f t="shared" si="90"/>
        <v>187.99130270616999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8.1953641591288218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8.1953641591288218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3.6</v>
      </c>
      <c r="BD79" s="13">
        <f>IF('Données projet'!$A$88&gt;35,BD78+BC79-BL78,IF(A79&lt;'Données projet'!$A$88,$BA$205^A79,IF(A79='Données projet'!$A$88,'Données projet'!$B$88,BD78+BC79-BL78)))</f>
        <v>145.60000000000011</v>
      </c>
      <c r="BE79" s="14">
        <f>BD79*VLOOKUP('Données projet'!$B$11,Paramètres!$A$1:$I$89,3,0)*VLOOKUP('Données projet'!$B$11,Paramètres!$A$1:$I$89,5,0)</f>
        <v>156.72384000000011</v>
      </c>
      <c r="BF79" s="14">
        <f t="shared" si="91"/>
        <v>40.10268098462052</v>
      </c>
      <c r="BG79" s="22">
        <f t="shared" si="61"/>
        <v>342.80619071488087</v>
      </c>
      <c r="BH79" s="62">
        <f t="shared" si="62"/>
        <v>611.8957750957303</v>
      </c>
      <c r="BI79" s="62">
        <f ca="1">AVERAGE(OFFSET($BH$3,0,0,'Données projet'!$E$11+1,1))-AVERAGE(OFFSET($H$3,0,0,'Données projet'!$E$11+1,1))</f>
        <v>287.77879820226661</v>
      </c>
      <c r="BJ79" s="62">
        <f t="shared" si="92"/>
        <v>202.51334141855753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9.1206472093530451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9.1206472093530451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7.2</v>
      </c>
      <c r="N80" s="14">
        <f>IF('Données projet'!$A$36&gt;35,N79+M80-V79,IF(A80&lt;'Données projet'!$A$36,$K$205^A80,IF(A80='Données projet'!$A$36,'Données projet'!$B$36,N79+M80-V79)))</f>
        <v>298.40000000000003</v>
      </c>
      <c r="O80" s="14">
        <f>N80*VLOOKUP('Données projet'!$B$9,Paramètres!$A$1:$I$89,3,0)*VLOOKUP('Données projet'!$B$9,Paramètres!$A$1:$I$89,5,0)</f>
        <v>269.99232000000001</v>
      </c>
      <c r="P80" s="14">
        <f t="shared" si="87"/>
        <v>64.847639395310296</v>
      </c>
      <c r="Q80" s="22">
        <f t="shared" si="54"/>
        <v>583.17959594683214</v>
      </c>
      <c r="R80" s="62">
        <f t="shared" si="55"/>
        <v>852.68975517110448</v>
      </c>
      <c r="S80" s="62">
        <f ca="1">AVERAGE(OFFSET($R$3,0,0,'Données projet'!$E$9+1,1))-AVERAGE(OFFSET($H$3,0,0,'Données projet'!$E$9+1,1))</f>
        <v>435.66722289172486</v>
      </c>
      <c r="T80" s="62">
        <f t="shared" si="88"/>
        <v>297.32483725004136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39.514169679199277</v>
      </c>
      <c r="AA80" s="23">
        <f>EXP(-LN(2)/25)*AA79+(1-EXP(-LN(2)/25))/(LN(2)/25)*Calculateur!V80*Calculateur!X80*VLOOKUP('Données projet'!$B$9,Paramètres!$A$1:$I$89,3,0)*0.475*44/12</f>
        <v>20.085937509240374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59.600107188439651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3.6</v>
      </c>
      <c r="AI80" s="14">
        <f>IF('Données projet'!$A$62&gt;35,AI79+AH80-AQ79,IF(A80&lt;'Données projet'!$A$62,$AF$205^A80,IF(A80='Données projet'!$A$62,'Données projet'!$B$62,AI79+AH80-AQ79)))</f>
        <v>149.2000000000001</v>
      </c>
      <c r="AJ80" s="14">
        <f>AI80*VLOOKUP('Données projet'!$B$10,Paramètres!$A$1:$I$89,3,0)*VLOOKUP('Données projet'!$B$10,Paramètres!$A$1:$I$89,5,0)</f>
        <v>144.30624000000009</v>
      </c>
      <c r="AK80" s="14">
        <f t="shared" si="89"/>
        <v>37.281758503629582</v>
      </c>
      <c r="AL80" s="22">
        <f t="shared" si="58"/>
        <v>316.26576406048838</v>
      </c>
      <c r="AM80" s="62">
        <f t="shared" si="59"/>
        <v>585.77592328476067</v>
      </c>
      <c r="AN80" s="62">
        <f ca="1">AVERAGE(OFFSET($AM$3,0,0,'Données projet'!$E$10+1,1))-AVERAGE(OFFSET($H$3,0,0,'Données projet'!$E$10+1,1))</f>
        <v>265.30115826265654</v>
      </c>
      <c r="AO80" s="62">
        <f t="shared" si="90"/>
        <v>187.99130270616999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7.9712614952219738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7.9712614952219738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3.6</v>
      </c>
      <c r="BD80" s="13">
        <f>IF('Données projet'!$A$88&gt;35,BD79+BC80-BL79,IF(A80&lt;'Données projet'!$A$88,$BA$205^A80,IF(A80='Données projet'!$A$88,'Données projet'!$B$88,BD79+BC80-BL79)))</f>
        <v>149.2000000000001</v>
      </c>
      <c r="BE80" s="14">
        <f>BD80*VLOOKUP('Données projet'!$B$11,Paramètres!$A$1:$I$89,3,0)*VLOOKUP('Données projet'!$B$11,Paramètres!$A$1:$I$89,5,0)</f>
        <v>160.59888000000009</v>
      </c>
      <c r="BF80" s="14">
        <f t="shared" si="91"/>
        <v>40.977565077303275</v>
      </c>
      <c r="BG80" s="22">
        <f t="shared" si="61"/>
        <v>351.07897517630335</v>
      </c>
      <c r="BH80" s="62">
        <f t="shared" si="62"/>
        <v>620.58913440057563</v>
      </c>
      <c r="BI80" s="62">
        <f ca="1">AVERAGE(OFFSET($BH$3,0,0,'Données projet'!$E$11+1,1))-AVERAGE(OFFSET($H$3,0,0,'Données projet'!$E$11+1,1))</f>
        <v>287.77879820226661</v>
      </c>
      <c r="BJ80" s="62">
        <f t="shared" si="92"/>
        <v>202.51334141855753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8.8712426317792943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8.8712426317792943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7.2</v>
      </c>
      <c r="N81" s="14">
        <f>IF('Données projet'!$A$36&gt;35,N80+M81-V80,IF(A81&lt;'Données projet'!$A$36,$K$205^A81,IF(A81='Données projet'!$A$36,'Données projet'!$B$36,N80+M81-V80)))</f>
        <v>305.60000000000002</v>
      </c>
      <c r="O81" s="14">
        <f>N81*VLOOKUP('Données projet'!$B$9,Paramètres!$A$1:$I$89,3,0)*VLOOKUP('Données projet'!$B$9,Paramètres!$A$1:$I$89,5,0)</f>
        <v>276.50687999999997</v>
      </c>
      <c r="P81" s="14">
        <f t="shared" si="87"/>
        <v>66.228273722513677</v>
      </c>
      <c r="Q81" s="22">
        <f t="shared" si="54"/>
        <v>596.93039273337797</v>
      </c>
      <c r="R81" s="62">
        <f t="shared" si="55"/>
        <v>866.8538307678042</v>
      </c>
      <c r="S81" s="62">
        <f ca="1">AVERAGE(OFFSET($R$3,0,0,'Données projet'!$E$9+1,1))-AVERAGE(OFFSET($H$3,0,0,'Données projet'!$E$9+1,1))</f>
        <v>435.66722289172486</v>
      </c>
      <c r="T81" s="62">
        <f t="shared" si="88"/>
        <v>297.32483725004136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38.739320913053881</v>
      </c>
      <c r="AA81" s="23">
        <f>EXP(-LN(2)/25)*AA80+(1-EXP(-LN(2)/25))/(LN(2)/25)*Calculateur!V81*Calculateur!X81*VLOOKUP('Données projet'!$B$9,Paramètres!$A$1:$I$89,3,0)*0.475*44/12</f>
        <v>19.536686491776649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58.27600740483053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3.6</v>
      </c>
      <c r="AI81" s="14">
        <f>IF('Données projet'!$A$62&gt;35,AI80+AH81-AQ80,IF(A81&lt;'Données projet'!$A$62,$AF$205^A81,IF(A81='Données projet'!$A$62,'Données projet'!$B$62,AI80+AH81-AQ80)))</f>
        <v>152.8000000000001</v>
      </c>
      <c r="AJ81" s="14">
        <f>AI81*VLOOKUP('Données projet'!$B$10,Paramètres!$A$1:$I$89,3,0)*VLOOKUP('Données projet'!$B$10,Paramètres!$A$1:$I$89,5,0)</f>
        <v>147.78816000000009</v>
      </c>
      <c r="AK81" s="14">
        <f t="shared" si="89"/>
        <v>38.075503288306201</v>
      </c>
      <c r="AL81" s="22">
        <f t="shared" si="58"/>
        <v>323.71254689380015</v>
      </c>
      <c r="AM81" s="62">
        <f t="shared" si="59"/>
        <v>593.63598492822643</v>
      </c>
      <c r="AN81" s="62">
        <f ca="1">AVERAGE(OFFSET($AM$3,0,0,'Données projet'!$E$10+1,1))-AVERAGE(OFFSET($H$3,0,0,'Données projet'!$E$10+1,1))</f>
        <v>265.30115826265654</v>
      </c>
      <c r="AO81" s="62">
        <f t="shared" si="90"/>
        <v>187.99130270616999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7.7532869304447054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7.7532869304447054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3.6</v>
      </c>
      <c r="BD81" s="13">
        <f>IF('Données projet'!$A$88&gt;35,BD80+BC81-BL80,IF(A81&lt;'Données projet'!$A$88,$BA$205^A81,IF(A81='Données projet'!$A$88,'Données projet'!$B$88,BD80+BC81-BL80)))</f>
        <v>152.8000000000001</v>
      </c>
      <c r="BE81" s="14">
        <f>BD81*VLOOKUP('Données projet'!$B$11,Paramètres!$A$1:$I$89,3,0)*VLOOKUP('Données projet'!$B$11,Paramètres!$A$1:$I$89,5,0)</f>
        <v>164.47392000000011</v>
      </c>
      <c r="BF81" s="14">
        <f t="shared" si="91"/>
        <v>41.849995184528225</v>
      </c>
      <c r="BG81" s="22">
        <f t="shared" si="61"/>
        <v>359.34748561305355</v>
      </c>
      <c r="BH81" s="62">
        <f t="shared" si="62"/>
        <v>629.27092364747978</v>
      </c>
      <c r="BI81" s="62">
        <f ca="1">AVERAGE(OFFSET($BH$3,0,0,'Données projet'!$E$11+1,1))-AVERAGE(OFFSET($H$3,0,0,'Données projet'!$E$11+1,1))</f>
        <v>287.77879820226661</v>
      </c>
      <c r="BJ81" s="62">
        <f t="shared" si="92"/>
        <v>202.51334141855753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8.6286580354949152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8.6286580354949152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7.2</v>
      </c>
      <c r="N82" s="14">
        <f>IF('Données projet'!$A$36&gt;35,N81+M82-V81,IF(A82&lt;'Données projet'!$A$36,$K$205^A82,IF(A82='Données projet'!$A$36,'Données projet'!$B$36,N81+M82-V81)))</f>
        <v>312.8</v>
      </c>
      <c r="O82" s="14">
        <f>N82*VLOOKUP('Données projet'!$B$9,Paramètres!$A$1:$I$89,3,0)*VLOOKUP('Données projet'!$B$9,Paramètres!$A$1:$I$89,5,0)</f>
        <v>283.02144000000004</v>
      </c>
      <c r="P82" s="14">
        <f t="shared" si="87"/>
        <v>67.605126603830598</v>
      </c>
      <c r="Q82" s="22">
        <f t="shared" si="54"/>
        <v>610.67460350167164</v>
      </c>
      <c r="R82" s="62">
        <f t="shared" si="55"/>
        <v>881.00415088284853</v>
      </c>
      <c r="S82" s="62">
        <f ca="1">AVERAGE(OFFSET($R$3,0,0,'Données projet'!$E$9+1,1))-AVERAGE(OFFSET($H$3,0,0,'Données projet'!$E$9+1,1))</f>
        <v>435.66722289172486</v>
      </c>
      <c r="T82" s="62">
        <f t="shared" si="88"/>
        <v>297.32483725004136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37.979666458601514</v>
      </c>
      <c r="AA82" s="23">
        <f>EXP(-LN(2)/25)*AA81+(1-EXP(-LN(2)/25))/(LN(2)/25)*Calculateur!V82*Calculateur!X82*VLOOKUP('Données projet'!$B$9,Paramètres!$A$1:$I$89,3,0)*0.475*44/12</f>
        <v>19.002454772269324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56.982121230870838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3.6</v>
      </c>
      <c r="AI82" s="14">
        <f>IF('Données projet'!$A$62&gt;35,AI81+AH82-AQ81,IF(A82&lt;'Données projet'!$A$62,$AF$205^A82,IF(A82='Données projet'!$A$62,'Données projet'!$B$62,AI81+AH82-AQ81)))</f>
        <v>156.40000000000009</v>
      </c>
      <c r="AJ82" s="14">
        <f>AI82*VLOOKUP('Données projet'!$B$10,Paramètres!$A$1:$I$89,3,0)*VLOOKUP('Données projet'!$B$10,Paramètres!$A$1:$I$89,5,0)</f>
        <v>151.27008000000009</v>
      </c>
      <c r="AK82" s="14">
        <f t="shared" si="89"/>
        <v>38.867074070140994</v>
      </c>
      <c r="AL82" s="22">
        <f t="shared" si="58"/>
        <v>331.15554333882909</v>
      </c>
      <c r="AM82" s="62">
        <f t="shared" si="59"/>
        <v>601.48509072000604</v>
      </c>
      <c r="AN82" s="62">
        <f ca="1">AVERAGE(OFFSET($AM$3,0,0,'Données projet'!$E$10+1,1))-AVERAGE(OFFSET($H$3,0,0,'Données projet'!$E$10+1,1))</f>
        <v>265.30115826265654</v>
      </c>
      <c r="AO82" s="62">
        <f t="shared" si="90"/>
        <v>187.99130270616999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7.5412728916040557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7.5412728916040557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3.6</v>
      </c>
      <c r="BD82" s="13">
        <f>IF('Données projet'!$A$88&gt;35,BD81+BC82-BL81,IF(A82&lt;'Données projet'!$A$88,$BA$205^A82,IF(A82='Données projet'!$A$88,'Données projet'!$B$88,BD81+BC82-BL81)))</f>
        <v>156.40000000000009</v>
      </c>
      <c r="BE82" s="14">
        <f>BD82*VLOOKUP('Données projet'!$B$11,Paramètres!$A$1:$I$89,3,0)*VLOOKUP('Données projet'!$B$11,Paramètres!$A$1:$I$89,5,0)</f>
        <v>168.34896000000009</v>
      </c>
      <c r="BF82" s="14">
        <f t="shared" si="91"/>
        <v>42.72003577616951</v>
      </c>
      <c r="BG82" s="22">
        <f t="shared" si="61"/>
        <v>367.61183431016207</v>
      </c>
      <c r="BH82" s="62">
        <f t="shared" si="62"/>
        <v>637.94138169133907</v>
      </c>
      <c r="BI82" s="62">
        <f ca="1">AVERAGE(OFFSET($BH$3,0,0,'Données projet'!$E$11+1,1))-AVERAGE(OFFSET($H$3,0,0,'Données projet'!$E$11+1,1))</f>
        <v>287.77879820226661</v>
      </c>
      <c r="BJ82" s="62">
        <f t="shared" si="92"/>
        <v>202.51334141855753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8.3927069277529025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8.3927069277529025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320</v>
      </c>
      <c r="L83" s="13">
        <f>VLOOKUP(A83,'Données projet'!$A$35:$I$55,9,0)</f>
        <v>7.2</v>
      </c>
      <c r="M83" s="13">
        <f t="array" ref="M83">INDEX(L:L,MIN(IF(ISNUMBER(L83:L279),ROW(L83:L279),"")))</f>
        <v>7.2</v>
      </c>
      <c r="N83" s="14">
        <f>IF('Données projet'!$A$36&gt;35,N82+M83-V82,IF(A83&lt;'Données projet'!$A$36,$K$205^A83,IF(A83='Données projet'!$A$36,'Données projet'!$B$36,N82+M83-V82)))</f>
        <v>320</v>
      </c>
      <c r="O83" s="14">
        <f>N83*VLOOKUP('Données projet'!$B$9,Paramètres!$A$1:$I$89,3,0)*VLOOKUP('Données projet'!$B$9,Paramètres!$A$1:$I$89,5,0)</f>
        <v>289.536</v>
      </c>
      <c r="P83" s="14">
        <f t="shared" si="87"/>
        <v>68.97829509904436</v>
      </c>
      <c r="Q83" s="22">
        <f t="shared" si="54"/>
        <v>624.41239729750225</v>
      </c>
      <c r="R83" s="62">
        <f t="shared" si="55"/>
        <v>895.14100893618843</v>
      </c>
      <c r="S83" s="62">
        <f ca="1">AVERAGE(OFFSET($R$3,0,0,'Données projet'!$E$9+1,1))-AVERAGE(OFFSET($H$3,0,0,'Données projet'!$E$9+1,1))</f>
        <v>435.66722289172486</v>
      </c>
      <c r="T83" s="62">
        <f t="shared" si="88"/>
        <v>297.32483725004136</v>
      </c>
      <c r="U83" s="16">
        <f>IF(ISNA(VLOOKUP(A83,'Données projet'!$A$35:$I$55,3,0)),0,VLOOKUP(A83,'Données projet'!$A$35:$I$55,3,0))</f>
        <v>13</v>
      </c>
      <c r="V83" s="16">
        <f>IF(ISNA(VLOOKUP(A83,'Données projet'!$A$35:$I$55,4,0)),0,VLOOKUP(A83,'Données projet'!$A$35:$I$55,4,0))</f>
        <v>28</v>
      </c>
      <c r="W83" s="17">
        <f>IF(ISNA(VLOOKUP(A83,'Données projet'!$A$35:$I$55,5,0)),0%,VLOOKUP(A83,'Données projet'!$A$35:$I$55,5,0)*VLOOKUP('Données projet'!$B$9,Paramètres!$A$1:$I$89,7,0))</f>
        <v>0.32250000000000001</v>
      </c>
      <c r="X83" s="17">
        <f>IF(ISNA(VLOOKUP(A83,'Données projet'!$A$35:$I$55,6,0)),0%,VLOOKUP(A83,'Données projet'!$A$35:$I$55,6,0)*VLOOKUP('Données projet'!$B$9,Paramètres!$A$1:$I$89,7,0))</f>
        <v>0.1075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46.266981647252251</v>
      </c>
      <c r="AA83" s="23">
        <f>EXP(-LN(2)/25)*AA82+(1-EXP(-LN(2)/25))/(LN(2)/25)*Calculateur!V83*Calculateur!X83*VLOOKUP('Données projet'!$B$9,Paramètres!$A$1:$I$89,3,0)*0.475*44/12</f>
        <v>21.481668503423105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67.74865015067536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160</v>
      </c>
      <c r="AG83" s="13">
        <f>VLOOKUP(A83,'Données projet'!$A$61:$I$81,9,0)</f>
        <v>3.6</v>
      </c>
      <c r="AH83" s="13">
        <f t="array" ref="AH83">INDEX(AG:AG,MIN(IF(ISNUMBER(AG83:AG279),ROW(AG83:AG279),"")))</f>
        <v>3.6</v>
      </c>
      <c r="AI83" s="14">
        <f>IF('Données projet'!$A$62&gt;35,AI82+AH83-AQ82,IF(A83&lt;'Données projet'!$A$62,$AF$205^A83,IF(A83='Données projet'!$A$62,'Données projet'!$B$62,AI82+AH83-AQ82)))</f>
        <v>160.00000000000009</v>
      </c>
      <c r="AJ83" s="14">
        <f>AI83*VLOOKUP('Données projet'!$B$10,Paramètres!$A$1:$I$89,3,0)*VLOOKUP('Données projet'!$B$10,Paramètres!$A$1:$I$89,5,0)</f>
        <v>154.75200000000007</v>
      </c>
      <c r="AK83" s="14">
        <f t="shared" si="89"/>
        <v>39.656526650076451</v>
      </c>
      <c r="AL83" s="22">
        <f t="shared" si="58"/>
        <v>338.59485058221657</v>
      </c>
      <c r="AM83" s="62">
        <f t="shared" si="59"/>
        <v>609.32346222090268</v>
      </c>
      <c r="AN83" s="62">
        <f ca="1">AVERAGE(OFFSET($AM$3,0,0,'Données projet'!$E$10+1,1))-AVERAGE(OFFSET($H$3,0,0,'Données projet'!$E$10+1,1))</f>
        <v>265.30115826265654</v>
      </c>
      <c r="AO83" s="62">
        <f t="shared" si="90"/>
        <v>187.99130270616999</v>
      </c>
      <c r="AP83" s="16">
        <f>IF(ISNA(VLOOKUP(A83,'Données projet'!$A$61:$I$81,3,0)),0,VLOOKUP(A83,'Données projet'!$A$61:$I$81,3,0))</f>
        <v>13</v>
      </c>
      <c r="AQ83" s="16">
        <f>IF(ISNA(VLOOKUP(A83,'Données projet'!$A$61:$I$81,4,0)),0,VLOOKUP(A83,'Données projet'!$A$61:$I$81,4,0))</f>
        <v>14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0.215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10.540709578912137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10.540709578912137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160</v>
      </c>
      <c r="BB83" s="13">
        <f>VLOOKUP(A83,'Données projet'!$A$87:$I$107,9,0)</f>
        <v>3.6</v>
      </c>
      <c r="BC83" s="13">
        <f t="array" ref="BC83">INDEX(BB:BB,MIN(IF(ISNUMBER(BB83:BB279),ROW(BB83:BB279),"")))</f>
        <v>3.6</v>
      </c>
      <c r="BD83" s="13">
        <f>IF('Données projet'!$A$88&gt;35,BD82+BC83-BL82,IF(A83&lt;'Données projet'!$A$88,$BA$205^A83,IF(A83='Données projet'!$A$88,'Données projet'!$B$88,BD82+BC83-BL82)))</f>
        <v>160.00000000000009</v>
      </c>
      <c r="BE83" s="14">
        <f>BD83*VLOOKUP('Données projet'!$B$11,Paramètres!$A$1:$I$89,3,0)*VLOOKUP('Données projet'!$B$11,Paramètres!$A$1:$I$89,5,0)</f>
        <v>172.22400000000007</v>
      </c>
      <c r="BF83" s="14">
        <f t="shared" si="91"/>
        <v>43.587748184815709</v>
      </c>
      <c r="BG83" s="22">
        <f t="shared" si="61"/>
        <v>375.87212808855412</v>
      </c>
      <c r="BH83" s="62">
        <f t="shared" si="62"/>
        <v>646.60073972724024</v>
      </c>
      <c r="BI83" s="62">
        <f ca="1">AVERAGE(OFFSET($BH$3,0,0,'Données projet'!$E$11+1,1))-AVERAGE(OFFSET($H$3,0,0,'Données projet'!$E$11+1,1))</f>
        <v>287.77879820226661</v>
      </c>
      <c r="BJ83" s="62">
        <f t="shared" si="92"/>
        <v>202.51334141855753</v>
      </c>
      <c r="BK83" s="16">
        <f>IF(ISNA(VLOOKUP(A83,'Données projet'!$A$87:$I$107,3,0)),0,VLOOKUP(A83,'Données projet'!$A$87:$I$107,3,0))</f>
        <v>13</v>
      </c>
      <c r="BL83" s="23">
        <f>IF(ISNA(VLOOKUP(A83,'Données projet'!$A$87:$I$107,4,0)),0,VLOOKUP(A83,'Données projet'!$A$87:$I$107,4,0))</f>
        <v>14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0.215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11.730789692660284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11.730789692660284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6.8</v>
      </c>
      <c r="N84" s="14">
        <f>IF('Données projet'!$A$36&gt;35,N83+M84-V83,IF(A84&lt;'Données projet'!$A$36,$K$205^A84,IF(A84='Données projet'!$A$36,'Données projet'!$B$36,N83+M84-V83)))</f>
        <v>298.8</v>
      </c>
      <c r="O84" s="14">
        <f>N84*VLOOKUP('Données projet'!$B$9,Paramètres!$A$1:$I$89,3,0)*VLOOKUP('Données projet'!$B$9,Paramètres!$A$1:$I$89,5,0)</f>
        <v>270.35424</v>
      </c>
      <c r="P84" s="14">
        <f t="shared" si="87"/>
        <v>64.924442218534367</v>
      </c>
      <c r="Q84" s="22">
        <f t="shared" si="54"/>
        <v>583.94370486394735</v>
      </c>
      <c r="R84" s="62">
        <f t="shared" si="55"/>
        <v>855.06445788744873</v>
      </c>
      <c r="S84" s="62">
        <f ca="1">AVERAGE(OFFSET($R$3,0,0,'Données projet'!$E$9+1,1))-AVERAGE(OFFSET($H$3,0,0,'Données projet'!$E$9+1,1))</f>
        <v>435.66722289172486</v>
      </c>
      <c r="T84" s="62">
        <f t="shared" si="88"/>
        <v>297.32483725004136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45.359714357221939</v>
      </c>
      <c r="AA84" s="23">
        <f>EXP(-LN(2)/25)*AA83+(1-EXP(-LN(2)/25))/(LN(2)/25)*Calculateur!V84*Calculateur!X84*VLOOKUP('Données projet'!$B$9,Paramètres!$A$1:$I$89,3,0)*0.475*44/12</f>
        <v>20.89425114852515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66.25396550574709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3.4</v>
      </c>
      <c r="AI84" s="14">
        <f>IF('Données projet'!$A$62&gt;35,AI83+AH84-AQ83,IF(A84&lt;'Données projet'!$A$62,$AF$205^A84,IF(A84='Données projet'!$A$62,'Données projet'!$B$62,AI83+AH84-AQ83)))</f>
        <v>149.40000000000009</v>
      </c>
      <c r="AJ84" s="14">
        <f>AI84*VLOOKUP('Données projet'!$B$10,Paramètres!$A$1:$I$89,3,0)*VLOOKUP('Données projet'!$B$10,Paramètres!$A$1:$I$89,5,0)</f>
        <v>144.4996800000001</v>
      </c>
      <c r="AK84" s="14">
        <f t="shared" si="89"/>
        <v>37.325913454134167</v>
      </c>
      <c r="AL84" s="22">
        <f t="shared" si="58"/>
        <v>316.67957526595052</v>
      </c>
      <c r="AM84" s="62">
        <f t="shared" si="59"/>
        <v>587.80032828945195</v>
      </c>
      <c r="AN84" s="62">
        <f ca="1">AVERAGE(OFFSET($AM$3,0,0,'Données projet'!$E$10+1,1))-AVERAGE(OFFSET($H$3,0,0,'Données projet'!$E$10+1,1))</f>
        <v>265.30115826265654</v>
      </c>
      <c r="AO84" s="62">
        <f t="shared" si="90"/>
        <v>187.99130270616999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10.25247332116496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10.25247332116496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3.4</v>
      </c>
      <c r="BD84" s="13">
        <f>IF('Données projet'!$A$88&gt;35,BD83+BC84-BL83,IF(A84&lt;'Données projet'!$A$88,$BA$205^A84,IF(A84='Données projet'!$A$88,'Données projet'!$B$88,BD83+BC84-BL83)))</f>
        <v>149.40000000000009</v>
      </c>
      <c r="BE84" s="14">
        <f>BD84*VLOOKUP('Données projet'!$B$11,Paramètres!$A$1:$I$89,3,0)*VLOOKUP('Données projet'!$B$11,Paramètres!$A$1:$I$89,5,0)</f>
        <v>160.8141600000001</v>
      </c>
      <c r="BF84" s="14">
        <f t="shared" si="91"/>
        <v>41.026097186045085</v>
      </c>
      <c r="BG84" s="22">
        <f t="shared" si="61"/>
        <v>351.53844793236203</v>
      </c>
      <c r="BH84" s="62">
        <f t="shared" si="62"/>
        <v>622.65920095586353</v>
      </c>
      <c r="BI84" s="62">
        <f ca="1">AVERAGE(OFFSET($BH$3,0,0,'Données projet'!$E$11+1,1))-AVERAGE(OFFSET($H$3,0,0,'Données projet'!$E$11+1,1))</f>
        <v>287.77879820226661</v>
      </c>
      <c r="BJ84" s="62">
        <f t="shared" si="92"/>
        <v>202.51334141855753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11.41001063161907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11.41001063161907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6.8</v>
      </c>
      <c r="N85" s="14">
        <f>IF('Données projet'!$A$36&gt;35,N84+M85-V84,IF(A85&lt;'Données projet'!$A$36,$K$205^A85,IF(A85='Données projet'!$A$36,'Données projet'!$B$36,N84+M85-V84)))</f>
        <v>305.60000000000002</v>
      </c>
      <c r="O85" s="14">
        <f>N85*VLOOKUP('Données projet'!$B$9,Paramètres!$A$1:$I$89,3,0)*VLOOKUP('Données projet'!$B$9,Paramètres!$A$1:$I$89,5,0)</f>
        <v>276.50687999999997</v>
      </c>
      <c r="P85" s="14">
        <f t="shared" si="87"/>
        <v>66.228273722513677</v>
      </c>
      <c r="Q85" s="22">
        <f t="shared" si="54"/>
        <v>596.93039273337797</v>
      </c>
      <c r="R85" s="62">
        <f t="shared" si="55"/>
        <v>868.436484365365</v>
      </c>
      <c r="S85" s="62">
        <f ca="1">AVERAGE(OFFSET($R$3,0,0,'Données projet'!$E$9+1,1))-AVERAGE(OFFSET($H$3,0,0,'Données projet'!$E$9+1,1))</f>
        <v>435.66722289172486</v>
      </c>
      <c r="T85" s="62">
        <f t="shared" si="88"/>
        <v>297.32483725004136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44.470238025370719</v>
      </c>
      <c r="AA85" s="23">
        <f>EXP(-LN(2)/25)*AA84+(1-EXP(-LN(2)/25))/(LN(2)/25)*Calculateur!V85*Calculateur!X85*VLOOKUP('Données projet'!$B$9,Paramètres!$A$1:$I$89,3,0)*0.475*44/12</f>
        <v>20.322896752087818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64.793134777458533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3.4</v>
      </c>
      <c r="AI85" s="14">
        <f>IF('Données projet'!$A$62&gt;35,AI84+AH85-AQ84,IF(A85&lt;'Données projet'!$A$62,$AF$205^A85,IF(A85='Données projet'!$A$62,'Données projet'!$B$62,AI84+AH85-AQ84)))</f>
        <v>152.8000000000001</v>
      </c>
      <c r="AJ85" s="14">
        <f>AI85*VLOOKUP('Données projet'!$B$10,Paramètres!$A$1:$I$89,3,0)*VLOOKUP('Données projet'!$B$10,Paramètres!$A$1:$I$89,5,0)</f>
        <v>147.78816000000009</v>
      </c>
      <c r="AK85" s="14">
        <f t="shared" si="89"/>
        <v>38.075503288306201</v>
      </c>
      <c r="AL85" s="22">
        <f t="shared" si="58"/>
        <v>323.71254689380015</v>
      </c>
      <c r="AM85" s="62">
        <f t="shared" si="59"/>
        <v>595.21863852578713</v>
      </c>
      <c r="AN85" s="62">
        <f ca="1">AVERAGE(OFFSET($AM$3,0,0,'Données projet'!$E$10+1,1))-AVERAGE(OFFSET($H$3,0,0,'Données projet'!$E$10+1,1))</f>
        <v>265.30115826265654</v>
      </c>
      <c r="AO85" s="62">
        <f t="shared" si="90"/>
        <v>187.99130270616999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9.972118899043565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9.972118899043565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3.4</v>
      </c>
      <c r="BD85" s="13">
        <f>IF('Données projet'!$A$88&gt;35,BD84+BC85-BL84,IF(A85&lt;'Données projet'!$A$88,$BA$205^A85,IF(A85='Données projet'!$A$88,'Données projet'!$B$88,BD84+BC85-BL84)))</f>
        <v>152.8000000000001</v>
      </c>
      <c r="BE85" s="14">
        <f>BD85*VLOOKUP('Données projet'!$B$11,Paramètres!$A$1:$I$89,3,0)*VLOOKUP('Données projet'!$B$11,Paramètres!$A$1:$I$89,5,0)</f>
        <v>164.47392000000011</v>
      </c>
      <c r="BF85" s="14">
        <f t="shared" si="91"/>
        <v>41.849995184528225</v>
      </c>
      <c r="BG85" s="22">
        <f t="shared" si="61"/>
        <v>359.34748561305355</v>
      </c>
      <c r="BH85" s="62">
        <f t="shared" si="62"/>
        <v>630.85357724504058</v>
      </c>
      <c r="BI85" s="62">
        <f ca="1">AVERAGE(OFFSET($BH$3,0,0,'Données projet'!$E$11+1,1))-AVERAGE(OFFSET($H$3,0,0,'Données projet'!$E$11+1,1))</f>
        <v>287.77879820226661</v>
      </c>
      <c r="BJ85" s="62">
        <f t="shared" si="92"/>
        <v>202.51334141855753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11.098003290871064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11.098003290871064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6.8</v>
      </c>
      <c r="N86" s="14">
        <f>IF('Données projet'!$A$36&gt;35,N85+M86-V85,IF(A86&lt;'Données projet'!$A$36,$K$205^A86,IF(A86='Données projet'!$A$36,'Données projet'!$B$36,N85+M86-V85)))</f>
        <v>312.40000000000003</v>
      </c>
      <c r="O86" s="14">
        <f>N86*VLOOKUP('Données projet'!$B$9,Paramètres!$A$1:$I$89,3,0)*VLOOKUP('Données projet'!$B$9,Paramètres!$A$1:$I$89,5,0)</f>
        <v>282.65952000000004</v>
      </c>
      <c r="P86" s="14">
        <f t="shared" si="87"/>
        <v>67.528732309967324</v>
      </c>
      <c r="Q86" s="22">
        <f t="shared" si="54"/>
        <v>609.91120610652649</v>
      </c>
      <c r="R86" s="62">
        <f t="shared" si="55"/>
        <v>881.79595158362997</v>
      </c>
      <c r="S86" s="62">
        <f ca="1">AVERAGE(OFFSET($R$3,0,0,'Données projet'!$E$9+1,1))-AVERAGE(OFFSET($H$3,0,0,'Données projet'!$E$9+1,1))</f>
        <v>435.66722289172486</v>
      </c>
      <c r="T86" s="62">
        <f t="shared" si="88"/>
        <v>297.32483725004136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43.598203781860107</v>
      </c>
      <c r="AA86" s="23">
        <f>EXP(-LN(2)/25)*AA85+(1-EXP(-LN(2)/25))/(LN(2)/25)*Calculateur!V86*Calculateur!X86*VLOOKUP('Données projet'!$B$9,Paramètres!$A$1:$I$89,3,0)*0.475*44/12</f>
        <v>19.767166071667283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63.36536985352739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3.4</v>
      </c>
      <c r="AI86" s="14">
        <f>IF('Données projet'!$A$62&gt;35,AI85+AH86-AQ85,IF(A86&lt;'Données projet'!$A$62,$AF$205^A86,IF(A86='Données projet'!$A$62,'Données projet'!$B$62,AI85+AH86-AQ85)))</f>
        <v>156.2000000000001</v>
      </c>
      <c r="AJ86" s="14">
        <f>AI86*VLOOKUP('Données projet'!$B$10,Paramètres!$A$1:$I$89,3,0)*VLOOKUP('Données projet'!$B$10,Paramètres!$A$1:$I$89,5,0)</f>
        <v>151.07664000000011</v>
      </c>
      <c r="AK86" s="14">
        <f t="shared" si="89"/>
        <v>38.823153988524702</v>
      </c>
      <c r="AL86" s="22">
        <f t="shared" si="58"/>
        <v>330.74214119668073</v>
      </c>
      <c r="AM86" s="62">
        <f t="shared" si="59"/>
        <v>602.62688667378416</v>
      </c>
      <c r="AN86" s="62">
        <f ca="1">AVERAGE(OFFSET($AM$3,0,0,'Données projet'!$E$10+1,1))-AVERAGE(OFFSET($H$3,0,0,'Données projet'!$E$10+1,1))</f>
        <v>265.30115826265654</v>
      </c>
      <c r="AO86" s="62">
        <f t="shared" si="90"/>
        <v>187.99130270616999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9.6994307833382774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9.6994307833382774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3.4</v>
      </c>
      <c r="BD86" s="13">
        <f>IF('Données projet'!$A$88&gt;35,BD85+BC86-BL85,IF(A86&lt;'Données projet'!$A$88,$BA$205^A86,IF(A86='Données projet'!$A$88,'Données projet'!$B$88,BD85+BC86-BL85)))</f>
        <v>156.2000000000001</v>
      </c>
      <c r="BE86" s="14">
        <f>BD86*VLOOKUP('Données projet'!$B$11,Paramètres!$A$1:$I$89,3,0)*VLOOKUP('Données projet'!$B$11,Paramètres!$A$1:$I$89,5,0)</f>
        <v>168.13368000000011</v>
      </c>
      <c r="BF86" s="14">
        <f t="shared" si="91"/>
        <v>42.671761819283688</v>
      </c>
      <c r="BG86" s="22">
        <f t="shared" si="61"/>
        <v>367.15281116858591</v>
      </c>
      <c r="BH86" s="62">
        <f t="shared" si="62"/>
        <v>639.03755664568939</v>
      </c>
      <c r="BI86" s="62">
        <f ca="1">AVERAGE(OFFSET($BH$3,0,0,'Données projet'!$E$11+1,1))-AVERAGE(OFFSET($H$3,0,0,'Données projet'!$E$11+1,1))</f>
        <v>287.77879820226661</v>
      </c>
      <c r="BJ86" s="62">
        <f t="shared" si="92"/>
        <v>202.51334141855753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10.794527807263567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10.794527807263567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6.8</v>
      </c>
      <c r="N87" s="14">
        <f>IF('Données projet'!$A$36&gt;35,N86+M87-V86,IF(A87&lt;'Données projet'!$A$36,$K$205^A87,IF(A87='Données projet'!$A$36,'Données projet'!$B$36,N86+M87-V86)))</f>
        <v>319.20000000000005</v>
      </c>
      <c r="O87" s="14">
        <f>N87*VLOOKUP('Données projet'!$B$9,Paramètres!$A$1:$I$89,3,0)*VLOOKUP('Données projet'!$B$9,Paramètres!$A$1:$I$89,5,0)</f>
        <v>288.81216000000006</v>
      </c>
      <c r="P87" s="14">
        <f t="shared" si="87"/>
        <v>68.825899854238159</v>
      </c>
      <c r="Q87" s="22">
        <f t="shared" si="54"/>
        <v>622.88628757946492</v>
      </c>
      <c r="R87" s="62">
        <f t="shared" si="55"/>
        <v>895.14311810401523</v>
      </c>
      <c r="S87" s="62">
        <f ca="1">AVERAGE(OFFSET($R$3,0,0,'Données projet'!$E$9+1,1))-AVERAGE(OFFSET($H$3,0,0,'Données projet'!$E$9+1,1))</f>
        <v>435.66722289172486</v>
      </c>
      <c r="T87" s="62">
        <f t="shared" si="88"/>
        <v>297.32483725004136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42.743269597976365</v>
      </c>
      <c r="AA87" s="23">
        <f>EXP(-LN(2)/25)*AA86+(1-EXP(-LN(2)/25))/(LN(2)/25)*Calculateur!V87*Calculateur!X87*VLOOKUP('Données projet'!$B$9,Paramètres!$A$1:$I$89,3,0)*0.475*44/12</f>
        <v>19.226631875927456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61.969901473903818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3.4</v>
      </c>
      <c r="AI87" s="14">
        <f>IF('Données projet'!$A$62&gt;35,AI86+AH87-AQ86,IF(A87&lt;'Données projet'!$A$62,$AF$205^A87,IF(A87='Données projet'!$A$62,'Données projet'!$B$62,AI86+AH87-AQ86)))</f>
        <v>159.60000000000011</v>
      </c>
      <c r="AJ87" s="14">
        <f>AI87*VLOOKUP('Données projet'!$B$10,Paramètres!$A$1:$I$89,3,0)*VLOOKUP('Données projet'!$B$10,Paramètres!$A$1:$I$89,5,0)</f>
        <v>154.3651200000001</v>
      </c>
      <c r="AK87" s="14">
        <f t="shared" si="89"/>
        <v>39.568912624848309</v>
      </c>
      <c r="AL87" s="22">
        <f t="shared" si="58"/>
        <v>337.7684401549443</v>
      </c>
      <c r="AM87" s="62">
        <f t="shared" si="59"/>
        <v>610.02527067949461</v>
      </c>
      <c r="AN87" s="62">
        <f ca="1">AVERAGE(OFFSET($AM$3,0,0,'Données projet'!$E$10+1,1))-AVERAGE(OFFSET($H$3,0,0,'Données projet'!$E$10+1,1))</f>
        <v>265.30115826265654</v>
      </c>
      <c r="AO87" s="62">
        <f t="shared" si="90"/>
        <v>187.99130270616999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9.4341993384969953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9.4341993384969953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3.4</v>
      </c>
      <c r="BD87" s="13">
        <f>IF('Données projet'!$A$88&gt;35,BD86+BC87-BL86,IF(A87&lt;'Données projet'!$A$88,$BA$205^A87,IF(A87='Données projet'!$A$88,'Données projet'!$B$88,BD86+BC87-BL86)))</f>
        <v>159.60000000000011</v>
      </c>
      <c r="BE87" s="14">
        <f>BD87*VLOOKUP('Données projet'!$B$11,Paramètres!$A$1:$I$89,3,0)*VLOOKUP('Données projet'!$B$11,Paramètres!$A$1:$I$89,5,0)</f>
        <v>171.79344000000012</v>
      </c>
      <c r="BF87" s="14">
        <f t="shared" si="91"/>
        <v>43.491448826508311</v>
      </c>
      <c r="BG87" s="22">
        <f t="shared" si="61"/>
        <v>374.95451470616882</v>
      </c>
      <c r="BH87" s="62">
        <f t="shared" si="62"/>
        <v>647.21134523071919</v>
      </c>
      <c r="BI87" s="62">
        <f ca="1">AVERAGE(OFFSET($BH$3,0,0,'Données projet'!$E$11+1,1))-AVERAGE(OFFSET($H$3,0,0,'Données projet'!$E$11+1,1))</f>
        <v>287.77879820226661</v>
      </c>
      <c r="BJ87" s="62">
        <f t="shared" si="92"/>
        <v>202.51334141855753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10.499350876714399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10.499350876714399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326</v>
      </c>
      <c r="L88" s="13">
        <f>VLOOKUP(A88,'Données projet'!$A$35:$I$55,9,0)</f>
        <v>6.8</v>
      </c>
      <c r="M88" s="13">
        <f t="array" ref="M88">INDEX(L:L,MIN(IF(ISNUMBER(L88:L284),ROW(L88:L284),"")))</f>
        <v>6.8</v>
      </c>
      <c r="N88" s="14">
        <f>IF('Données projet'!$A$36&gt;35,N87+M88-V87,IF(A88&lt;'Données projet'!$A$36,$K$205^A88,IF(A88='Données projet'!$A$36,'Données projet'!$B$36,N87+M88-V87)))</f>
        <v>326.00000000000006</v>
      </c>
      <c r="O88" s="14">
        <f>N88*VLOOKUP('Données projet'!$B$9,Paramètres!$A$1:$I$89,3,0)*VLOOKUP('Données projet'!$B$9,Paramètres!$A$1:$I$89,5,0)</f>
        <v>294.96480000000003</v>
      </c>
      <c r="P88" s="14">
        <f t="shared" si="87"/>
        <v>70.119854541045001</v>
      </c>
      <c r="Q88" s="22">
        <f t="shared" si="54"/>
        <v>635.85577332565333</v>
      </c>
      <c r="R88" s="62">
        <f t="shared" si="55"/>
        <v>908.47823405393478</v>
      </c>
      <c r="S88" s="62">
        <f ca="1">AVERAGE(OFFSET($R$3,0,0,'Données projet'!$E$9+1,1))-AVERAGE(OFFSET($H$3,0,0,'Données projet'!$E$9+1,1))</f>
        <v>435.66722289172486</v>
      </c>
      <c r="T88" s="62">
        <f t="shared" si="88"/>
        <v>297.32483725004136</v>
      </c>
      <c r="U88" s="16">
        <f>IF(ISNA(VLOOKUP(A88,'Données projet'!$A$35:$I$55,3,0)),0,VLOOKUP(A88,'Données projet'!$A$35:$I$55,3,0))</f>
        <v>14</v>
      </c>
      <c r="V88" s="16">
        <f>IF(ISNA(VLOOKUP(A88,'Données projet'!$A$35:$I$55,4,0)),0,VLOOKUP(A88,'Données projet'!$A$35:$I$55,4,0))</f>
        <v>28</v>
      </c>
      <c r="W88" s="17">
        <f>IF(ISNA(VLOOKUP(A88,'Données projet'!$A$35:$I$55,5,0)),0%,VLOOKUP(A88,'Données projet'!$A$35:$I$55,5,0)*VLOOKUP('Données projet'!$B$9,Paramètres!$A$1:$I$89,7,0))</f>
        <v>0.32250000000000001</v>
      </c>
      <c r="X88" s="17">
        <f>IF(ISNA(VLOOKUP(A88,'Données projet'!$A$35:$I$55,6,0)),0%,VLOOKUP(A88,'Données projet'!$A$35:$I$55,6,0)*VLOOKUP('Données projet'!$B$9,Paramètres!$A$1:$I$89,7,0))</f>
        <v>0.1075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50.93717343457498</v>
      </c>
      <c r="AA88" s="23">
        <f>EXP(-LN(2)/25)*AA87+(1-EXP(-LN(2)/25))/(LN(2)/25)*Calculateur!V88*Calculateur!X88*VLOOKUP('Données projet'!$B$9,Paramètres!$A$1:$I$89,3,0)*0.475*44/12</f>
        <v>21.699715472392743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72.636888906967727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163</v>
      </c>
      <c r="AG88" s="13">
        <f>VLOOKUP(A88,'Données projet'!$A$61:$I$81,9,0)</f>
        <v>3.4</v>
      </c>
      <c r="AH88" s="13">
        <f t="array" ref="AH88">INDEX(AG:AG,MIN(IF(ISNUMBER(AG88:AG284),ROW(AG88:AG284),"")))</f>
        <v>3.4</v>
      </c>
      <c r="AI88" s="14">
        <f>IF('Données projet'!$A$62&gt;35,AI87+AH88-AQ87,IF(A88&lt;'Données projet'!$A$62,$AF$205^A88,IF(A88='Données projet'!$A$62,'Données projet'!$B$62,AI87+AH88-AQ87)))</f>
        <v>163.00000000000011</v>
      </c>
      <c r="AJ88" s="14">
        <f>AI88*VLOOKUP('Données projet'!$B$10,Paramètres!$A$1:$I$89,3,0)*VLOOKUP('Données projet'!$B$10,Paramètres!$A$1:$I$89,5,0)</f>
        <v>157.65360000000013</v>
      </c>
      <c r="AK88" s="14">
        <f t="shared" si="89"/>
        <v>40.312824147272416</v>
      </c>
      <c r="AL88" s="22">
        <f t="shared" si="58"/>
        <v>344.79152205649962</v>
      </c>
      <c r="AM88" s="62">
        <f t="shared" si="59"/>
        <v>617.41398278478118</v>
      </c>
      <c r="AN88" s="62">
        <f ca="1">AVERAGE(OFFSET($AM$3,0,0,'Données projet'!$E$10+1,1))-AVERAGE(OFFSET($H$3,0,0,'Données projet'!$E$10+1,1))</f>
        <v>265.30115826265654</v>
      </c>
      <c r="AO88" s="62">
        <f t="shared" si="90"/>
        <v>187.99130270616999</v>
      </c>
      <c r="AP88" s="16">
        <f>IF(ISNA(VLOOKUP(A88,'Données projet'!$A$61:$I$81,3,0)),0,VLOOKUP(A88,'Données projet'!$A$61:$I$81,3,0))</f>
        <v>14</v>
      </c>
      <c r="AQ88" s="16">
        <f>IF(ISNA(VLOOKUP(A88,'Données projet'!$A$61:$I$81,4,0)),0,VLOOKUP(A88,'Données projet'!$A$61:$I$81,4,0))</f>
        <v>14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0.215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12.381873852570115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12.381873852570115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163</v>
      </c>
      <c r="BB88" s="13">
        <f>VLOOKUP(A88,'Données projet'!$A$87:$I$107,9,0)</f>
        <v>3.4</v>
      </c>
      <c r="BC88" s="13">
        <f t="array" ref="BC88">INDEX(BB:BB,MIN(IF(ISNUMBER(BB88:BB284),ROW(BB88:BB284),"")))</f>
        <v>3.4</v>
      </c>
      <c r="BD88" s="13">
        <f>IF('Données projet'!$A$88&gt;35,BD87+BC88-BL87,IF(A88&lt;'Données projet'!$A$88,$BA$205^A88,IF(A88='Données projet'!$A$88,'Données projet'!$B$88,BD87+BC88-BL87)))</f>
        <v>163.00000000000011</v>
      </c>
      <c r="BE88" s="14">
        <f>BD88*VLOOKUP('Données projet'!$B$11,Paramètres!$A$1:$I$89,3,0)*VLOOKUP('Données projet'!$B$11,Paramètres!$A$1:$I$89,5,0)</f>
        <v>175.45320000000012</v>
      </c>
      <c r="BF88" s="14">
        <f t="shared" si="91"/>
        <v>44.309105612169866</v>
      </c>
      <c r="BG88" s="22">
        <f t="shared" si="61"/>
        <v>382.75268227452943</v>
      </c>
      <c r="BH88" s="62">
        <f t="shared" si="62"/>
        <v>655.375143002811</v>
      </c>
      <c r="BI88" s="62">
        <f ca="1">AVERAGE(OFFSET($BH$3,0,0,'Données projet'!$E$11+1,1))-AVERAGE(OFFSET($H$3,0,0,'Données projet'!$E$11+1,1))</f>
        <v>287.77879820226661</v>
      </c>
      <c r="BJ88" s="62">
        <f t="shared" si="92"/>
        <v>202.51334141855753</v>
      </c>
      <c r="BK88" s="16">
        <f>IF(ISNA(VLOOKUP(A88,'Données projet'!$A$87:$I$107,3,0)),0,VLOOKUP(A88,'Données projet'!$A$87:$I$107,3,0))</f>
        <v>14</v>
      </c>
      <c r="BL88" s="16">
        <f>IF(ISNA(VLOOKUP(A88,'Données projet'!$A$87:$I$107,4,0)),0,VLOOKUP(A88,'Données projet'!$A$87:$I$107,4,0))</f>
        <v>14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0.215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13.779827352053839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13.779827352053839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6.4</v>
      </c>
      <c r="N89" s="14">
        <f>IF('Données projet'!$A$36&gt;35,N88+M89-V88,IF(A89&lt;'Données projet'!$A$36,$K$205^A89,IF(A89='Données projet'!$A$36,'Données projet'!$B$36,N88+M89-V88)))</f>
        <v>304.40000000000003</v>
      </c>
      <c r="O89" s="14">
        <f>N89*VLOOKUP('Données projet'!$B$9,Paramètres!$A$1:$I$89,3,0)*VLOOKUP('Données projet'!$B$9,Paramètres!$A$1:$I$89,5,0)</f>
        <v>275.42112000000003</v>
      </c>
      <c r="P89" s="14">
        <f t="shared" si="87"/>
        <v>65.998433293601067</v>
      </c>
      <c r="Q89" s="22">
        <f t="shared" si="54"/>
        <v>594.63905531968851</v>
      </c>
      <c r="R89" s="62">
        <f t="shared" si="55"/>
        <v>867.62080338509327</v>
      </c>
      <c r="S89" s="62">
        <f ca="1">AVERAGE(OFFSET($R$3,0,0,'Données projet'!$E$9+1,1))-AVERAGE(OFFSET($H$3,0,0,'Données projet'!$E$9+1,1))</f>
        <v>435.66722289172486</v>
      </c>
      <c r="T89" s="62">
        <f t="shared" si="88"/>
        <v>297.32483725004136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49.938326532130986</v>
      </c>
      <c r="AA89" s="23">
        <f>EXP(-LN(2)/25)*AA88+(1-EXP(-LN(2)/25))/(LN(2)/25)*Calculateur!V89*Calculateur!X89*VLOOKUP('Données projet'!$B$9,Paramètres!$A$1:$I$89,3,0)*0.475*44/12</f>
        <v>21.106335611661724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71.044662143792706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3.2</v>
      </c>
      <c r="AI89" s="14">
        <f>IF('Données projet'!$A$62&gt;35,AI88+AH89-AQ88,IF(A89&lt;'Données projet'!$A$62,$AF$205^A89,IF(A89='Données projet'!$A$62,'Données projet'!$B$62,AI88+AH89-AQ88)))</f>
        <v>152.2000000000001</v>
      </c>
      <c r="AJ89" s="14">
        <f>AI89*VLOOKUP('Données projet'!$B$10,Paramètres!$A$1:$I$89,3,0)*VLOOKUP('Données projet'!$B$10,Paramètres!$A$1:$I$89,5,0)</f>
        <v>147.20784000000009</v>
      </c>
      <c r="AK89" s="14">
        <f t="shared" si="89"/>
        <v>37.943365010876356</v>
      </c>
      <c r="AL89" s="22">
        <f t="shared" si="58"/>
        <v>322.47168206060979</v>
      </c>
      <c r="AM89" s="62">
        <f t="shared" si="59"/>
        <v>595.4534301260145</v>
      </c>
      <c r="AN89" s="62">
        <f ca="1">AVERAGE(OFFSET($AM$3,0,0,'Données projet'!$E$10+1,1))-AVERAGE(OFFSET($H$3,0,0,'Données projet'!$E$10+1,1))</f>
        <v>265.30115826265654</v>
      </c>
      <c r="AO89" s="62">
        <f t="shared" si="90"/>
        <v>187.99130270616999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12.043290860937137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12.043290860937137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3.2</v>
      </c>
      <c r="BD89" s="13">
        <f>IF('Données projet'!$A$88&gt;35,BD88+BC89-BL88,IF(A89&lt;'Données projet'!$A$88,$BA$205^A89,IF(A89='Données projet'!$A$88,'Données projet'!$B$88,BD88+BC89-BL88)))</f>
        <v>152.2000000000001</v>
      </c>
      <c r="BE89" s="14">
        <f>BD89*VLOOKUP('Données projet'!$B$11,Paramètres!$A$1:$I$89,3,0)*VLOOKUP('Données projet'!$B$11,Paramètres!$A$1:$I$89,5,0)</f>
        <v>163.82808000000009</v>
      </c>
      <c r="BF89" s="14">
        <f t="shared" si="91"/>
        <v>41.704757806252232</v>
      </c>
      <c r="BG89" s="22">
        <f t="shared" si="61"/>
        <v>357.96969251255609</v>
      </c>
      <c r="BH89" s="62">
        <f t="shared" si="62"/>
        <v>630.95144057796074</v>
      </c>
      <c r="BI89" s="62">
        <f ca="1">AVERAGE(OFFSET($BH$3,0,0,'Données projet'!$E$11+1,1))-AVERAGE(OFFSET($H$3,0,0,'Données projet'!$E$11+1,1))</f>
        <v>287.77879820226661</v>
      </c>
      <c r="BJ89" s="62">
        <f t="shared" si="92"/>
        <v>202.51334141855753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13.403017248462302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13.403017248462302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6.4</v>
      </c>
      <c r="N90" s="14">
        <f>IF('Données projet'!$A$36&gt;35,N89+M90-V89,IF(A90&lt;'Données projet'!$A$36,$K$205^A90,IF(A90='Données projet'!$A$36,'Données projet'!$B$36,N89+M90-V89)))</f>
        <v>310.8</v>
      </c>
      <c r="O90" s="14">
        <f>N90*VLOOKUP('Données projet'!$B$9,Paramètres!$A$1:$I$89,3,0)*VLOOKUP('Données projet'!$B$9,Paramètres!$A$1:$I$89,5,0)</f>
        <v>281.21184</v>
      </c>
      <c r="P90" s="14">
        <f t="shared" si="87"/>
        <v>67.22304110496664</v>
      </c>
      <c r="Q90" s="22">
        <f t="shared" si="54"/>
        <v>606.85741792448357</v>
      </c>
      <c r="R90" s="62">
        <f t="shared" si="55"/>
        <v>880.19222049495841</v>
      </c>
      <c r="S90" s="62">
        <f ca="1">AVERAGE(OFFSET($R$3,0,0,'Données projet'!$E$9+1,1))-AVERAGE(OFFSET($H$3,0,0,'Données projet'!$E$9+1,1))</f>
        <v>435.66722289172486</v>
      </c>
      <c r="T90" s="62">
        <f t="shared" si="88"/>
        <v>297.32483725004136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48.95906640820747</v>
      </c>
      <c r="AA90" s="23">
        <f>EXP(-LN(2)/25)*AA89+(1-EXP(-LN(2)/25))/(LN(2)/25)*Calculateur!V90*Calculateur!X90*VLOOKUP('Données projet'!$B$9,Paramètres!$A$1:$I$89,3,0)*0.475*44/12</f>
        <v>20.529181754426883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69.488248162634349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3.2</v>
      </c>
      <c r="AI90" s="14">
        <f>IF('Données projet'!$A$62&gt;35,AI89+AH90-AQ89,IF(A90&lt;'Données projet'!$A$62,$AF$205^A90,IF(A90='Données projet'!$A$62,'Données projet'!$B$62,AI89+AH90-AQ89)))</f>
        <v>155.40000000000009</v>
      </c>
      <c r="AJ90" s="14">
        <f>AI90*VLOOKUP('Données projet'!$B$10,Paramètres!$A$1:$I$89,3,0)*VLOOKUP('Données projet'!$B$10,Paramètres!$A$1:$I$89,5,0)</f>
        <v>150.3028800000001</v>
      </c>
      <c r="AK90" s="14">
        <f t="shared" si="89"/>
        <v>38.647408104976883</v>
      </c>
      <c r="AL90" s="22">
        <f t="shared" si="58"/>
        <v>329.08841844950155</v>
      </c>
      <c r="AM90" s="62">
        <f t="shared" si="59"/>
        <v>602.42322101997638</v>
      </c>
      <c r="AN90" s="62">
        <f ca="1">AVERAGE(OFFSET($AM$3,0,0,'Données projet'!$E$10+1,1))-AVERAGE(OFFSET($H$3,0,0,'Données projet'!$E$10+1,1))</f>
        <v>265.30115826265654</v>
      </c>
      <c r="AO90" s="62">
        <f t="shared" si="90"/>
        <v>187.99130270616999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11.713966439015671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11.713966439015671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3.2</v>
      </c>
      <c r="BD90" s="13">
        <f>IF('Données projet'!$A$88&gt;35,BD89+BC90-BL89,IF(A90&lt;'Données projet'!$A$88,$BA$205^A90,IF(A90='Données projet'!$A$88,'Données projet'!$B$88,BD89+BC90-BL89)))</f>
        <v>155.40000000000009</v>
      </c>
      <c r="BE90" s="14">
        <f>BD90*VLOOKUP('Données projet'!$B$11,Paramètres!$A$1:$I$89,3,0)*VLOOKUP('Données projet'!$B$11,Paramètres!$A$1:$I$89,5,0)</f>
        <v>167.27256000000008</v>
      </c>
      <c r="BF90" s="14">
        <f t="shared" si="91"/>
        <v>42.478593935868318</v>
      </c>
      <c r="BG90" s="22">
        <f t="shared" si="61"/>
        <v>365.31659310497076</v>
      </c>
      <c r="BH90" s="62">
        <f t="shared" si="62"/>
        <v>638.65139567544566</v>
      </c>
      <c r="BI90" s="62">
        <f ca="1">AVERAGE(OFFSET($BH$3,0,0,'Données projet'!$E$11+1,1))-AVERAGE(OFFSET($H$3,0,0,'Données projet'!$E$11+1,1))</f>
        <v>287.77879820226661</v>
      </c>
      <c r="BJ90" s="62">
        <f t="shared" si="92"/>
        <v>202.51334141855753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13.036511036969056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13.036511036969056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6.4</v>
      </c>
      <c r="N91" s="14">
        <f>IF('Données projet'!$A$36&gt;35,N90+M91-V90,IF(A91&lt;'Données projet'!$A$36,$K$205^A91,IF(A91='Données projet'!$A$36,'Données projet'!$B$36,N90+M91-V90)))</f>
        <v>317.2</v>
      </c>
      <c r="O91" s="14">
        <f>N91*VLOOKUP('Données projet'!$B$9,Paramètres!$A$1:$I$89,3,0)*VLOOKUP('Données projet'!$B$9,Paramètres!$A$1:$I$89,5,0)</f>
        <v>287.00255999999996</v>
      </c>
      <c r="P91" s="14">
        <f t="shared" si="87"/>
        <v>68.444716936118553</v>
      </c>
      <c r="Q91" s="22">
        <f t="shared" si="54"/>
        <v>619.07067399707296</v>
      </c>
      <c r="R91" s="62">
        <f t="shared" si="55"/>
        <v>892.75240636626665</v>
      </c>
      <c r="S91" s="62">
        <f ca="1">AVERAGE(OFFSET($R$3,0,0,'Données projet'!$E$9+1,1))-AVERAGE(OFFSET($H$3,0,0,'Données projet'!$E$9+1,1))</f>
        <v>435.66722289172486</v>
      </c>
      <c r="T91" s="62">
        <f t="shared" si="88"/>
        <v>297.32483725004136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47.999008978024392</v>
      </c>
      <c r="AA91" s="23">
        <f>EXP(-LN(2)/25)*AA90+(1-EXP(-LN(2)/25))/(LN(2)/25)*Calculateur!V91*Calculateur!X91*VLOOKUP('Données projet'!$B$9,Paramètres!$A$1:$I$89,3,0)*0.475*44/12</f>
        <v>19.967810199769332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67.966819177793724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3.2</v>
      </c>
      <c r="AI91" s="14">
        <f>IF('Données projet'!$A$62&gt;35,AI90+AH91-AQ90,IF(A91&lt;'Données projet'!$A$62,$AF$205^A91,IF(A91='Données projet'!$A$62,'Données projet'!$B$62,AI90+AH91-AQ90)))</f>
        <v>158.60000000000008</v>
      </c>
      <c r="AJ91" s="14">
        <f>AI91*VLOOKUP('Données projet'!$B$10,Paramètres!$A$1:$I$89,3,0)*VLOOKUP('Données projet'!$B$10,Paramètres!$A$1:$I$89,5,0)</f>
        <v>153.39792000000008</v>
      </c>
      <c r="AK91" s="14">
        <f t="shared" si="89"/>
        <v>39.349765565193408</v>
      </c>
      <c r="AL91" s="22">
        <f t="shared" si="58"/>
        <v>335.70221902604527</v>
      </c>
      <c r="AM91" s="62">
        <f t="shared" si="59"/>
        <v>609.38395139523891</v>
      </c>
      <c r="AN91" s="62">
        <f ca="1">AVERAGE(OFFSET($AM$3,0,0,'Données projet'!$E$10+1,1))-AVERAGE(OFFSET($H$3,0,0,'Données projet'!$E$10+1,1))</f>
        <v>265.30115826265654</v>
      </c>
      <c r="AO91" s="62">
        <f t="shared" si="90"/>
        <v>187.99130270616999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11.393647410730065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11.393647410730065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3.2</v>
      </c>
      <c r="BD91" s="13">
        <f>IF('Données projet'!$A$88&gt;35,BD90+BC91-BL90,IF(A91&lt;'Données projet'!$A$88,$BA$205^A91,IF(A91='Données projet'!$A$88,'Données projet'!$B$88,BD90+BC91-BL90)))</f>
        <v>158.60000000000008</v>
      </c>
      <c r="BE91" s="14">
        <f>BD91*VLOOKUP('Données projet'!$B$11,Paramètres!$A$1:$I$89,3,0)*VLOOKUP('Données projet'!$B$11,Paramètres!$A$1:$I$89,5,0)</f>
        <v>170.71704000000008</v>
      </c>
      <c r="BF91" s="14">
        <f t="shared" si="91"/>
        <v>43.250577331736075</v>
      </c>
      <c r="BG91" s="22">
        <f t="shared" si="61"/>
        <v>372.66026685277376</v>
      </c>
      <c r="BH91" s="62">
        <f t="shared" si="62"/>
        <v>646.3419992219674</v>
      </c>
      <c r="BI91" s="62">
        <f ca="1">AVERAGE(OFFSET($BH$3,0,0,'Données projet'!$E$11+1,1))-AVERAGE(OFFSET($H$3,0,0,'Données projet'!$E$11+1,1))</f>
        <v>287.77879820226661</v>
      </c>
      <c r="BJ91" s="62">
        <f t="shared" si="92"/>
        <v>202.51334141855753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12.680026957102818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12.680026957102818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6.4</v>
      </c>
      <c r="N92" s="14">
        <f>IF('Données projet'!$A$36&gt;35,N91+M92-V91,IF(A92&lt;'Données projet'!$A$36,$K$205^A92,IF(A92='Données projet'!$A$36,'Données projet'!$B$36,N91+M92-V91)))</f>
        <v>323.59999999999997</v>
      </c>
      <c r="O92" s="14">
        <f>N92*VLOOKUP('Données projet'!$B$9,Paramètres!$A$1:$I$89,3,0)*VLOOKUP('Données projet'!$B$9,Paramètres!$A$1:$I$89,5,0)</f>
        <v>292.79327999999992</v>
      </c>
      <c r="P92" s="14">
        <f t="shared" si="87"/>
        <v>69.663526761731433</v>
      </c>
      <c r="Q92" s="22">
        <f t="shared" si="54"/>
        <v>631.27893844334869</v>
      </c>
      <c r="R92" s="62">
        <f t="shared" si="55"/>
        <v>905.30158215487222</v>
      </c>
      <c r="S92" s="62">
        <f ca="1">AVERAGE(OFFSET($R$3,0,0,'Données projet'!$E$9+1,1))-AVERAGE(OFFSET($H$3,0,0,'Données projet'!$E$9+1,1))</f>
        <v>435.66722289172486</v>
      </c>
      <c r="T92" s="62">
        <f t="shared" si="88"/>
        <v>297.32483725004136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47.057777688469997</v>
      </c>
      <c r="AA92" s="23">
        <f>EXP(-LN(2)/25)*AA91+(1-EXP(-LN(2)/25))/(LN(2)/25)*Calculateur!V92*Calculateur!X92*VLOOKUP('Données projet'!$B$9,Paramètres!$A$1:$I$89,3,0)*0.475*44/12</f>
        <v>19.42178937979514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66.479567068265141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3.2</v>
      </c>
      <c r="AI92" s="14">
        <f>IF('Données projet'!$A$62&gt;35,AI91+AH92-AQ91,IF(A92&lt;'Données projet'!$A$62,$AF$205^A92,IF(A92='Données projet'!$A$62,'Données projet'!$B$62,AI91+AH92-AQ91)))</f>
        <v>161.80000000000007</v>
      </c>
      <c r="AJ92" s="14">
        <f>AI92*VLOOKUP('Données projet'!$B$10,Paramètres!$A$1:$I$89,3,0)*VLOOKUP('Données projet'!$B$10,Paramètres!$A$1:$I$89,5,0)</f>
        <v>156.49296000000007</v>
      </c>
      <c r="AK92" s="14">
        <f t="shared" si="89"/>
        <v>40.050475321231787</v>
      </c>
      <c r="AL92" s="22">
        <f t="shared" si="58"/>
        <v>342.31314985114545</v>
      </c>
      <c r="AM92" s="62">
        <f t="shared" si="59"/>
        <v>616.3357935626691</v>
      </c>
      <c r="AN92" s="62">
        <f ca="1">AVERAGE(OFFSET($AM$3,0,0,'Données projet'!$E$10+1,1))-AVERAGE(OFFSET($H$3,0,0,'Données projet'!$E$10+1,1))</f>
        <v>265.30115826265654</v>
      </c>
      <c r="AO92" s="62">
        <f t="shared" si="90"/>
        <v>187.99130270616999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11.082087523117774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11.082087523117774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3.2</v>
      </c>
      <c r="BD92" s="13">
        <f>IF('Données projet'!$A$88&gt;35,BD91+BC92-BL91,IF(A92&lt;'Données projet'!$A$88,$BA$205^A92,IF(A92='Données projet'!$A$88,'Données projet'!$B$88,BD91+BC92-BL91)))</f>
        <v>161.80000000000007</v>
      </c>
      <c r="BE92" s="14">
        <f>BD92*VLOOKUP('Données projet'!$B$11,Paramètres!$A$1:$I$89,3,0)*VLOOKUP('Données projet'!$B$11,Paramètres!$A$1:$I$89,5,0)</f>
        <v>174.16152000000005</v>
      </c>
      <c r="BF92" s="14">
        <f t="shared" si="91"/>
        <v>44.020749683599973</v>
      </c>
      <c r="BG92" s="22">
        <f t="shared" si="61"/>
        <v>380.00078636560335</v>
      </c>
      <c r="BH92" s="62">
        <f t="shared" si="62"/>
        <v>654.02343007712693</v>
      </c>
      <c r="BI92" s="62">
        <f ca="1">AVERAGE(OFFSET($BH$3,0,0,'Données projet'!$E$11+1,1))-AVERAGE(OFFSET($H$3,0,0,'Données projet'!$E$11+1,1))</f>
        <v>287.77879820226661</v>
      </c>
      <c r="BJ92" s="62">
        <f t="shared" si="92"/>
        <v>202.51334141855753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12.333290953147204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12.333290953147204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330</v>
      </c>
      <c r="L93" s="13">
        <f>VLOOKUP(A93,'Données projet'!$A$35:$I$55,9,0)</f>
        <v>6.4</v>
      </c>
      <c r="M93" s="13">
        <f t="array" ref="M93">INDEX(L:L,MIN(IF(ISNUMBER(L93:L289),ROW(L93:L289),"")))</f>
        <v>6.4</v>
      </c>
      <c r="N93" s="14">
        <f>IF('Données projet'!$A$36&gt;35,N92+M93-V92,IF(A93&lt;'Données projet'!$A$36,$K$205^A93,IF(A93='Données projet'!$A$36,'Données projet'!$B$36,N92+M93-V92)))</f>
        <v>329.99999999999994</v>
      </c>
      <c r="O93" s="14">
        <f>N93*VLOOKUP('Données projet'!$B$9,Paramètres!$A$1:$I$89,3,0)*VLOOKUP('Données projet'!$B$9,Paramètres!$A$1:$I$89,5,0)</f>
        <v>298.58399999999995</v>
      </c>
      <c r="P93" s="14">
        <f t="shared" si="87"/>
        <v>70.879533797607607</v>
      </c>
      <c r="Q93" s="22">
        <f t="shared" si="54"/>
        <v>643.48232136416652</v>
      </c>
      <c r="R93" s="62">
        <f t="shared" si="55"/>
        <v>917.83996236839425</v>
      </c>
      <c r="S93" s="62">
        <f ca="1">AVERAGE(OFFSET($R$3,0,0,'Données projet'!$E$9+1,1))-AVERAGE(OFFSET($H$3,0,0,'Données projet'!$E$9+1,1))</f>
        <v>435.66722289172486</v>
      </c>
      <c r="T93" s="62">
        <f t="shared" si="88"/>
        <v>297.32483725004136</v>
      </c>
      <c r="U93" s="16">
        <f>IF(ISNA(VLOOKUP(A93,'Données projet'!$A$35:$I$55,3,0)),0,VLOOKUP(A93,'Données projet'!$A$35:$I$55,3,0))</f>
        <v>15</v>
      </c>
      <c r="V93" s="16">
        <f>IF(ISNA(VLOOKUP(A93,'Données projet'!$A$35:$I$55,4,0)),0,VLOOKUP(A93,'Données projet'!$A$35:$I$55,4,0))</f>
        <v>28</v>
      </c>
      <c r="W93" s="17">
        <f>IF(ISNA(VLOOKUP(A93,'Données projet'!$A$35:$I$55,5,0)),0%,VLOOKUP(A93,'Données projet'!$A$35:$I$55,5,0)*VLOOKUP('Données projet'!$B$9,Paramètres!$A$1:$I$89,7,0))</f>
        <v>0.32250000000000001</v>
      </c>
      <c r="X93" s="17">
        <f>IF(ISNA(VLOOKUP(A93,'Données projet'!$A$35:$I$55,6,0)),0%,VLOOKUP(A93,'Données projet'!$A$35:$I$55,6,0)*VLOOKUP('Données projet'!$B$9,Paramètres!$A$1:$I$89,7,0))</f>
        <v>0.1075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55.167076653004123</v>
      </c>
      <c r="AA93" s="23">
        <f>EXP(-LN(2)/25)*AA92+(1-EXP(-LN(2)/25))/(LN(2)/25)*Calculateur!V93*Calculateur!X93*VLOOKUP('Données projet'!$B$9,Paramètres!$A$1:$I$89,3,0)*0.475*44/12</f>
        <v>21.889536384054278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77.056613037058398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165</v>
      </c>
      <c r="AG93" s="13">
        <f>VLOOKUP(A93,'Données projet'!$A$61:$I$81,9,0)</f>
        <v>3.2</v>
      </c>
      <c r="AH93" s="13">
        <f t="array" ref="AH93">INDEX(AG:AG,MIN(IF(ISNUMBER(AG93:AG289),ROW(AG93:AG289),"")))</f>
        <v>3.2</v>
      </c>
      <c r="AI93" s="14">
        <f>IF('Données projet'!$A$62&gt;35,AI92+AH93-AQ92,IF(A93&lt;'Données projet'!$A$62,$AF$205^A93,IF(A93='Données projet'!$A$62,'Données projet'!$B$62,AI92+AH93-AQ92)))</f>
        <v>165.00000000000006</v>
      </c>
      <c r="AJ93" s="14">
        <f>AI93*VLOOKUP('Données projet'!$B$10,Paramètres!$A$1:$I$89,3,0)*VLOOKUP('Données projet'!$B$10,Paramètres!$A$1:$I$89,5,0)</f>
        <v>159.58800000000008</v>
      </c>
      <c r="AK93" s="14">
        <f t="shared" si="89"/>
        <v>40.749573716685916</v>
      </c>
      <c r="AL93" s="22">
        <f t="shared" si="58"/>
        <v>348.92127422322807</v>
      </c>
      <c r="AM93" s="62">
        <f t="shared" si="59"/>
        <v>623.27891522745574</v>
      </c>
      <c r="AN93" s="62">
        <f ca="1">AVERAGE(OFFSET($AM$3,0,0,'Données projet'!$E$10+1,1))-AVERAGE(OFFSET($H$3,0,0,'Données projet'!$E$10+1,1))</f>
        <v>265.30115826265654</v>
      </c>
      <c r="AO93" s="62">
        <f t="shared" si="90"/>
        <v>187.99130270616999</v>
      </c>
      <c r="AP93" s="16">
        <f>IF(ISNA(VLOOKUP(A93,'Données projet'!$A$61:$I$81,3,0)),0,VLOOKUP(A93,'Données projet'!$A$61:$I$81,3,0))</f>
        <v>15</v>
      </c>
      <c r="AQ93" s="16">
        <f>IF(ISNA(VLOOKUP(A93,'Données projet'!$A$61:$I$81,4,0)),0,VLOOKUP(A93,'Données projet'!$A$61:$I$81,4,0))</f>
        <v>14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0.215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13.984700448123766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13.984700448123766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165</v>
      </c>
      <c r="BB93" s="13">
        <f>VLOOKUP(A93,'Données projet'!$A$87:$I$107,9,0)</f>
        <v>3.2</v>
      </c>
      <c r="BC93" s="13">
        <f t="array" ref="BC93">INDEX(BB:BB,MIN(IF(ISNUMBER(BB93:BB289),ROW(BB93:BB289),"")))</f>
        <v>3.2</v>
      </c>
      <c r="BD93" s="13">
        <f>IF('Données projet'!$A$88&gt;35,BD92+BC93-BL92,IF(A93&lt;'Données projet'!$A$88,$BA$205^A93,IF(A93='Données projet'!$A$88,'Données projet'!$B$88,BD92+BC93-BL92)))</f>
        <v>165.00000000000006</v>
      </c>
      <c r="BE93" s="14">
        <f>BD93*VLOOKUP('Données projet'!$B$11,Paramètres!$A$1:$I$89,3,0)*VLOOKUP('Données projet'!$B$11,Paramètres!$A$1:$I$89,5,0)</f>
        <v>177.60600000000005</v>
      </c>
      <c r="BF93" s="14">
        <f t="shared" si="91"/>
        <v>44.789150937858665</v>
      </c>
      <c r="BG93" s="22">
        <f t="shared" si="61"/>
        <v>387.33822121677059</v>
      </c>
      <c r="BH93" s="62">
        <f t="shared" si="62"/>
        <v>661.69586222099827</v>
      </c>
      <c r="BI93" s="62">
        <f ca="1">AVERAGE(OFFSET($BH$3,0,0,'Données projet'!$E$11+1,1))-AVERAGE(OFFSET($H$3,0,0,'Données projet'!$E$11+1,1))</f>
        <v>287.77879820226661</v>
      </c>
      <c r="BJ93" s="62">
        <f t="shared" si="92"/>
        <v>202.51334141855753</v>
      </c>
      <c r="BK93" s="16">
        <f>IF(ISNA(VLOOKUP(A93,'Données projet'!$A$87:$I$107,3,0)),0,VLOOKUP(A93,'Données projet'!$A$87:$I$107,3,0))</f>
        <v>15</v>
      </c>
      <c r="BL93" s="16">
        <f>IF(ISNA(VLOOKUP(A93,'Données projet'!$A$87:$I$107,4,0)),0,VLOOKUP(A93,'Données projet'!$A$87:$I$107,4,0))</f>
        <v>14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0.215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15.563618240653872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15.563618240653872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6.2</v>
      </c>
      <c r="N94" s="14">
        <f>IF('Données projet'!$A$36&gt;35,N93+M94-V93,IF(A94&lt;'Données projet'!$A$36,$K$205^A94,IF(A94='Données projet'!$A$36,'Données projet'!$B$36,N93+M94-V93)))</f>
        <v>308.19999999999993</v>
      </c>
      <c r="O94" s="14">
        <f>N94*VLOOKUP('Données projet'!$B$9,Paramètres!$A$1:$I$89,3,0)*VLOOKUP('Données projet'!$B$9,Paramètres!$A$1:$I$89,5,0)</f>
        <v>278.85935999999992</v>
      </c>
      <c r="P94" s="14">
        <f t="shared" si="87"/>
        <v>66.725901622172387</v>
      </c>
      <c r="Q94" s="22">
        <f t="shared" si="54"/>
        <v>601.8943306586167</v>
      </c>
      <c r="R94" s="62">
        <f t="shared" si="55"/>
        <v>876.5811575014618</v>
      </c>
      <c r="S94" s="62">
        <f ca="1">AVERAGE(OFFSET($R$3,0,0,'Données projet'!$E$9+1,1))-AVERAGE(OFFSET($H$3,0,0,'Données projet'!$E$9+1,1))</f>
        <v>435.66722289172486</v>
      </c>
      <c r="T94" s="62">
        <f t="shared" si="88"/>
        <v>297.32483725004136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54.085283928432951</v>
      </c>
      <c r="AA94" s="23">
        <f>EXP(-LN(2)/25)*AA93+(1-EXP(-LN(2)/25))/(LN(2)/25)*Calculateur!V94*Calculateur!X94*VLOOKUP('Données projet'!$B$9,Paramètres!$A$1:$I$89,3,0)*0.475*44/12</f>
        <v>21.290965860511623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75.376249788944577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3.2</v>
      </c>
      <c r="AI94" s="14">
        <f>IF('Données projet'!$A$62&gt;35,AI93+AH94-AQ93,IF(A94&lt;'Données projet'!$A$62,$AF$205^A94,IF(A94='Données projet'!$A$62,'Données projet'!$B$62,AI93+AH94-AQ93)))</f>
        <v>154.20000000000005</v>
      </c>
      <c r="AJ94" s="14">
        <f>AI94*VLOOKUP('Données projet'!$B$10,Paramètres!$A$1:$I$89,3,0)*VLOOKUP('Données projet'!$B$10,Paramètres!$A$1:$I$89,5,0)</f>
        <v>149.14224000000004</v>
      </c>
      <c r="AK94" s="14">
        <f t="shared" si="89"/>
        <v>38.383591569921414</v>
      </c>
      <c r="AL94" s="22">
        <f t="shared" si="58"/>
        <v>326.60748998427988</v>
      </c>
      <c r="AM94" s="62">
        <f t="shared" si="59"/>
        <v>601.29431682712493</v>
      </c>
      <c r="AN94" s="62">
        <f ca="1">AVERAGE(OFFSET($AM$3,0,0,'Données projet'!$E$10+1,1))-AVERAGE(OFFSET($H$3,0,0,'Données projet'!$E$10+1,1))</f>
        <v>265.30115826265654</v>
      </c>
      <c r="AO94" s="62">
        <f t="shared" si="90"/>
        <v>187.99130270616999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13.602288078946387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13.602288078946387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3.2</v>
      </c>
      <c r="BD94" s="13">
        <f>IF('Données projet'!$A$88&gt;35,BD93+BC94-BL93,IF(A94&lt;'Données projet'!$A$88,$BA$205^A94,IF(A94='Données projet'!$A$88,'Données projet'!$B$88,BD93+BC94-BL93)))</f>
        <v>154.20000000000005</v>
      </c>
      <c r="BE94" s="14">
        <f>BD94*VLOOKUP('Données projet'!$B$11,Paramètres!$A$1:$I$89,3,0)*VLOOKUP('Données projet'!$B$11,Paramètres!$A$1:$I$89,5,0)</f>
        <v>165.98088000000004</v>
      </c>
      <c r="BF94" s="14">
        <f t="shared" si="91"/>
        <v>42.188624801696399</v>
      </c>
      <c r="BG94" s="22">
        <f t="shared" si="61"/>
        <v>362.56188752962129</v>
      </c>
      <c r="BH94" s="62">
        <f t="shared" si="62"/>
        <v>637.24871437246634</v>
      </c>
      <c r="BI94" s="62">
        <f ca="1">AVERAGE(OFFSET($BH$3,0,0,'Données projet'!$E$11+1,1))-AVERAGE(OFFSET($H$3,0,0,'Données projet'!$E$11+1,1))</f>
        <v>287.77879820226661</v>
      </c>
      <c r="BJ94" s="62">
        <f t="shared" si="92"/>
        <v>202.51334141855753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15.13803028140808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15.13803028140808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6.2</v>
      </c>
      <c r="N95" s="14">
        <f>IF('Données projet'!$A$36&gt;35,N94+M95-V94,IF(A95&lt;'Données projet'!$A$36,$K$205^A95,IF(A95='Données projet'!$A$36,'Données projet'!$B$36,N94+M95-V94)))</f>
        <v>314.39999999999992</v>
      </c>
      <c r="O95" s="14">
        <f>N95*VLOOKUP('Données projet'!$B$9,Paramètres!$A$1:$I$89,3,0)*VLOOKUP('Données projet'!$B$9,Paramètres!$A$1:$I$89,5,0)</f>
        <v>284.46911999999992</v>
      </c>
      <c r="P95" s="14">
        <f t="shared" si="87"/>
        <v>67.91059023737904</v>
      </c>
      <c r="Q95" s="22">
        <f t="shared" si="54"/>
        <v>613.72799533010163</v>
      </c>
      <c r="R95" s="62">
        <f t="shared" si="55"/>
        <v>888.7382973732133</v>
      </c>
      <c r="S95" s="62">
        <f ca="1">AVERAGE(OFFSET($R$3,0,0,'Données projet'!$E$9+1,1))-AVERAGE(OFFSET($H$3,0,0,'Données projet'!$E$9+1,1))</f>
        <v>435.66722289172486</v>
      </c>
      <c r="T95" s="62">
        <f t="shared" si="88"/>
        <v>297.32483725004136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53.024704499362208</v>
      </c>
      <c r="AA95" s="23">
        <f>EXP(-LN(2)/25)*AA94+(1-EXP(-LN(2)/25))/(LN(2)/25)*Calculateur!V95*Calculateur!X95*VLOOKUP('Données projet'!$B$9,Paramètres!$A$1:$I$89,3,0)*0.475*44/12</f>
        <v>20.7087632794127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73.733467778774909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3.2</v>
      </c>
      <c r="AI95" s="14">
        <f>IF('Données projet'!$A$62&gt;35,AI94+AH95-AQ94,IF(A95&lt;'Données projet'!$A$62,$AF$205^A95,IF(A95='Données projet'!$A$62,'Données projet'!$B$62,AI94+AH95-AQ94)))</f>
        <v>157.40000000000003</v>
      </c>
      <c r="AJ95" s="14">
        <f>AI95*VLOOKUP('Données projet'!$B$10,Paramètres!$A$1:$I$89,3,0)*VLOOKUP('Données projet'!$B$10,Paramètres!$A$1:$I$89,5,0)</f>
        <v>152.23728000000003</v>
      </c>
      <c r="AK95" s="14">
        <f t="shared" si="89"/>
        <v>39.086576609537346</v>
      </c>
      <c r="AL95" s="22">
        <f t="shared" si="58"/>
        <v>333.22238359494423</v>
      </c>
      <c r="AM95" s="62">
        <f t="shared" si="59"/>
        <v>608.23268563805595</v>
      </c>
      <c r="AN95" s="62">
        <f ca="1">AVERAGE(OFFSET($AM$3,0,0,'Données projet'!$E$10+1,1))-AVERAGE(OFFSET($H$3,0,0,'Données projet'!$E$10+1,1))</f>
        <v>265.30115826265654</v>
      </c>
      <c r="AO95" s="62">
        <f t="shared" si="90"/>
        <v>187.99130270616999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13.230332796114356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13.230332796114356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3.2</v>
      </c>
      <c r="BD95" s="13">
        <f>IF('Données projet'!$A$88&gt;35,BD94+BC95-BL94,IF(A95&lt;'Données projet'!$A$88,$BA$205^A95,IF(A95='Données projet'!$A$88,'Données projet'!$B$88,BD94+BC95-BL94)))</f>
        <v>157.40000000000003</v>
      </c>
      <c r="BE95" s="14">
        <f>BD95*VLOOKUP('Données projet'!$B$11,Paramètres!$A$1:$I$89,3,0)*VLOOKUP('Données projet'!$B$11,Paramètres!$A$1:$I$89,5,0)</f>
        <v>169.42536000000001</v>
      </c>
      <c r="BF95" s="14">
        <f t="shared" si="91"/>
        <v>42.961297990017918</v>
      </c>
      <c r="BG95" s="22">
        <f t="shared" si="61"/>
        <v>369.90676266594784</v>
      </c>
      <c r="BH95" s="62">
        <f t="shared" si="62"/>
        <v>644.91706470905956</v>
      </c>
      <c r="BI95" s="62">
        <f ca="1">AVERAGE(OFFSET($BH$3,0,0,'Données projet'!$E$11+1,1))-AVERAGE(OFFSET($H$3,0,0,'Données projet'!$E$11+1,1))</f>
        <v>287.77879820226661</v>
      </c>
      <c r="BJ95" s="62">
        <f t="shared" si="92"/>
        <v>202.51334141855753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14.724080047288561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14.724080047288561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6.2</v>
      </c>
      <c r="N96" s="14">
        <f>IF('Données projet'!$A$36&gt;35,N95+M96-V95,IF(A96&lt;'Données projet'!$A$36,$K$205^A96,IF(A96='Données projet'!$A$36,'Données projet'!$B$36,N95+M96-V95)))</f>
        <v>320.59999999999991</v>
      </c>
      <c r="O96" s="14">
        <f>N96*VLOOKUP('Données projet'!$B$9,Paramètres!$A$1:$I$89,3,0)*VLOOKUP('Données projet'!$B$9,Paramètres!$A$1:$I$89,5,0)</f>
        <v>290.07887999999991</v>
      </c>
      <c r="P96" s="14">
        <f t="shared" si="87"/>
        <v>69.092562427360406</v>
      </c>
      <c r="Q96" s="22">
        <f t="shared" si="54"/>
        <v>625.55692889431919</v>
      </c>
      <c r="R96" s="62">
        <f t="shared" si="55"/>
        <v>900.8850945661552</v>
      </c>
      <c r="S96" s="62">
        <f ca="1">AVERAGE(OFFSET($R$3,0,0,'Données projet'!$E$9+1,1))-AVERAGE(OFFSET($H$3,0,0,'Données projet'!$E$9+1,1))</f>
        <v>435.66722289172486</v>
      </c>
      <c r="T96" s="62">
        <f t="shared" si="88"/>
        <v>297.32483725004136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51.984922386005962</v>
      </c>
      <c r="AA96" s="23">
        <f>EXP(-LN(2)/25)*AA95+(1-EXP(-LN(2)/25))/(LN(2)/25)*Calculateur!V96*Calculateur!X96*VLOOKUP('Données projet'!$B$9,Paramètres!$A$1:$I$89,3,0)*0.475*44/12</f>
        <v>20.142481058510629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72.127403444516588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3.2</v>
      </c>
      <c r="AI96" s="14">
        <f>IF('Données projet'!$A$62&gt;35,AI95+AH96-AQ95,IF(A96&lt;'Données projet'!$A$62,$AF$205^A96,IF(A96='Données projet'!$A$62,'Données projet'!$B$62,AI95+AH96-AQ95)))</f>
        <v>160.60000000000002</v>
      </c>
      <c r="AJ96" s="14">
        <f>AI96*VLOOKUP('Données projet'!$B$10,Paramètres!$A$1:$I$89,3,0)*VLOOKUP('Données projet'!$B$10,Paramètres!$A$1:$I$89,5,0)</f>
        <v>155.33232000000004</v>
      </c>
      <c r="AK96" s="14">
        <f t="shared" si="89"/>
        <v>39.787899912608111</v>
      </c>
      <c r="AL96" s="22">
        <f t="shared" si="58"/>
        <v>339.83438301445921</v>
      </c>
      <c r="AM96" s="62">
        <f t="shared" si="59"/>
        <v>615.16254868629517</v>
      </c>
      <c r="AN96" s="62">
        <f ca="1">AVERAGE(OFFSET($AM$3,0,0,'Données projet'!$E$10+1,1))-AVERAGE(OFFSET($H$3,0,0,'Données projet'!$E$10+1,1))</f>
        <v>265.30115826265654</v>
      </c>
      <c r="AO96" s="62">
        <f t="shared" si="90"/>
        <v>187.99130270616999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12.868548650051645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12.868548650051645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3.2</v>
      </c>
      <c r="BD96" s="13">
        <f>IF('Données projet'!$A$88&gt;35,BD95+BC96-BL95,IF(A96&lt;'Données projet'!$A$88,$BA$205^A96,IF(A96='Données projet'!$A$88,'Données projet'!$B$88,BD95+BC96-BL95)))</f>
        <v>160.60000000000002</v>
      </c>
      <c r="BE96" s="14">
        <f>BD96*VLOOKUP('Données projet'!$B$11,Paramètres!$A$1:$I$89,3,0)*VLOOKUP('Données projet'!$B$11,Paramètres!$A$1:$I$89,5,0)</f>
        <v>172.86984000000001</v>
      </c>
      <c r="BF96" s="14">
        <f t="shared" si="91"/>
        <v>43.732144710915357</v>
      </c>
      <c r="BG96" s="22">
        <f t="shared" si="61"/>
        <v>377.24845670484427</v>
      </c>
      <c r="BH96" s="62">
        <f t="shared" si="62"/>
        <v>652.57662237668023</v>
      </c>
      <c r="BI96" s="62">
        <f ca="1">AVERAGE(OFFSET($BH$3,0,0,'Données projet'!$E$11+1,1))-AVERAGE(OFFSET($H$3,0,0,'Données projet'!$E$11+1,1))</f>
        <v>287.77879820226661</v>
      </c>
      <c r="BJ96" s="62">
        <f t="shared" si="92"/>
        <v>202.51334141855753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14.321449304089738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14.321449304089738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6.2</v>
      </c>
      <c r="N97" s="14">
        <f>IF('Données projet'!$A$36&gt;35,N96+M97-V96,IF(A97&lt;'Données projet'!$A$36,$K$205^A97,IF(A97='Données projet'!$A$36,'Données projet'!$B$36,N96+M97-V96)))</f>
        <v>326.7999999999999</v>
      </c>
      <c r="O97" s="14">
        <f>N97*VLOOKUP('Données projet'!$B$9,Paramètres!$A$1:$I$89,3,0)*VLOOKUP('Données projet'!$B$9,Paramètres!$A$1:$I$89,5,0)</f>
        <v>295.68863999999991</v>
      </c>
      <c r="P97" s="14">
        <f t="shared" si="87"/>
        <v>70.271876780519747</v>
      </c>
      <c r="Q97" s="22">
        <f t="shared" si="54"/>
        <v>637.3812333927383</v>
      </c>
      <c r="R97" s="62">
        <f t="shared" si="55"/>
        <v>913.02174846997673</v>
      </c>
      <c r="S97" s="62">
        <f ca="1">AVERAGE(OFFSET($R$3,0,0,'Données projet'!$E$9+1,1))-AVERAGE(OFFSET($H$3,0,0,'Données projet'!$E$9+1,1))</f>
        <v>435.66722289172486</v>
      </c>
      <c r="T97" s="62">
        <f t="shared" si="88"/>
        <v>297.32483725004136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50.965529765688167</v>
      </c>
      <c r="AA97" s="23">
        <f>EXP(-LN(2)/25)*AA96+(1-EXP(-LN(2)/25))/(LN(2)/25)*Calculateur!V97*Calculateur!X97*VLOOKUP('Données projet'!$B$9,Paramètres!$A$1:$I$89,3,0)*0.475*44/12</f>
        <v>19.591683854718614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70.557213620406785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3.2</v>
      </c>
      <c r="AI97" s="14">
        <f>IF('Données projet'!$A$62&gt;35,AI96+AH97-AQ96,IF(A97&lt;'Données projet'!$A$62,$AF$205^A97,IF(A97='Données projet'!$A$62,'Données projet'!$B$62,AI96+AH97-AQ96)))</f>
        <v>163.80000000000001</v>
      </c>
      <c r="AJ97" s="14">
        <f>AI97*VLOOKUP('Données projet'!$B$10,Paramètres!$A$1:$I$89,3,0)*VLOOKUP('Données projet'!$B$10,Paramètres!$A$1:$I$89,5,0)</f>
        <v>158.42736000000002</v>
      </c>
      <c r="AK97" s="14">
        <f t="shared" si="89"/>
        <v>40.487598405868248</v>
      </c>
      <c r="AL97" s="22">
        <f t="shared" si="58"/>
        <v>346.4435525568872</v>
      </c>
      <c r="AM97" s="62">
        <f t="shared" si="59"/>
        <v>622.08406763412563</v>
      </c>
      <c r="AN97" s="62">
        <f ca="1">AVERAGE(OFFSET($AM$3,0,0,'Données projet'!$E$10+1,1))-AVERAGE(OFFSET($H$3,0,0,'Données projet'!$E$10+1,1))</f>
        <v>265.30115826265654</v>
      </c>
      <c r="AO97" s="62">
        <f t="shared" si="90"/>
        <v>187.99130270616999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12.51665751048842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12.51665751048842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3.2</v>
      </c>
      <c r="BD97" s="13">
        <f>IF('Données projet'!$A$88&gt;35,BD96+BC97-BL96,IF(A97&lt;'Données projet'!$A$88,$BA$205^A97,IF(A97='Données projet'!$A$88,'Données projet'!$B$88,BD96+BC97-BL96)))</f>
        <v>163.80000000000001</v>
      </c>
      <c r="BE97" s="14">
        <f>BD97*VLOOKUP('Données projet'!$B$11,Paramètres!$A$1:$I$89,3,0)*VLOOKUP('Données projet'!$B$11,Paramètres!$A$1:$I$89,5,0)</f>
        <v>176.31432000000001</v>
      </c>
      <c r="BF97" s="14">
        <f t="shared" si="91"/>
        <v>44.501205551735517</v>
      </c>
      <c r="BG97" s="22">
        <f t="shared" si="61"/>
        <v>384.58704033593932</v>
      </c>
      <c r="BH97" s="62">
        <f t="shared" si="62"/>
        <v>660.22755541317781</v>
      </c>
      <c r="BI97" s="62">
        <f ca="1">AVERAGE(OFFSET($BH$3,0,0,'Données projet'!$E$11+1,1))-AVERAGE(OFFSET($H$3,0,0,'Données projet'!$E$11+1,1))</f>
        <v>287.77879820226661</v>
      </c>
      <c r="BJ97" s="62">
        <f t="shared" si="92"/>
        <v>202.51334141855753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13.929828519737118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13.929828519737118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333</v>
      </c>
      <c r="L98" s="13">
        <f>VLOOKUP(A98,'Données projet'!$A$35:$I$55,9,0)</f>
        <v>6.2</v>
      </c>
      <c r="M98" s="13">
        <f t="array" ref="M98">INDEX(L:L,MIN(IF(ISNUMBER(L98:L294),ROW(L98:L294),"")))</f>
        <v>6.2</v>
      </c>
      <c r="N98" s="14">
        <f>IF('Données projet'!$A$36&gt;35,N97+M98-V97,IF(A98&lt;'Données projet'!$A$36,$K$205^A98,IF(A98='Données projet'!$A$36,'Données projet'!$B$36,N97+M98-V97)))</f>
        <v>332.99999999999989</v>
      </c>
      <c r="O98" s="14">
        <f>N98*VLOOKUP('Données projet'!$B$9,Paramètres!$A$1:$I$89,3,0)*VLOOKUP('Données projet'!$B$9,Paramètres!$A$1:$I$89,5,0)</f>
        <v>301.2983999999999</v>
      </c>
      <c r="P98" s="14">
        <f t="shared" si="87"/>
        <v>71.448589534990518</v>
      </c>
      <c r="Q98" s="22">
        <f t="shared" si="54"/>
        <v>649.20100677344158</v>
      </c>
      <c r="R98" s="62">
        <f t="shared" si="55"/>
        <v>925.14845269220746</v>
      </c>
      <c r="S98" s="62">
        <f ca="1">AVERAGE(OFFSET($R$3,0,0,'Données projet'!$E$9+1,1))-AVERAGE(OFFSET($H$3,0,0,'Données projet'!$E$9+1,1))</f>
        <v>435.66722289172486</v>
      </c>
      <c r="T98" s="62">
        <f t="shared" si="88"/>
        <v>297.32483725004136</v>
      </c>
      <c r="U98" s="16">
        <f>IF(ISNA(VLOOKUP(A98,'Données projet'!$A$35:$I$55,3,0)),0,VLOOKUP(A98,'Données projet'!$A$35:$I$55,3,0))</f>
        <v>16</v>
      </c>
      <c r="V98" s="16">
        <f>IF(ISNA(VLOOKUP(A98,'Données projet'!$A$35:$I$55,4,0)),0,VLOOKUP(A98,'Données projet'!$A$35:$I$55,4,0))</f>
        <v>28</v>
      </c>
      <c r="W98" s="17">
        <f>IF(ISNA(VLOOKUP(A98,'Données projet'!$A$35:$I$55,5,0)),0%,VLOOKUP(A98,'Données projet'!$A$35:$I$55,5,0)*VLOOKUP('Données projet'!$B$9,Paramètres!$A$1:$I$89,7,0))</f>
        <v>0.32250000000000001</v>
      </c>
      <c r="X98" s="17">
        <f>IF(ISNA(VLOOKUP(A98,'Données projet'!$A$35:$I$55,6,0)),0%,VLOOKUP(A98,'Données projet'!$A$35:$I$55,6,0)*VLOOKUP('Données projet'!$B$9,Paramètres!$A$1:$I$89,7,0))</f>
        <v>0.1075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58.998200095481458</v>
      </c>
      <c r="AA98" s="23">
        <f>EXP(-LN(2)/25)*AA97+(1-EXP(-LN(2)/25))/(LN(2)/25)*Calculateur!V98*Calculateur!X98*VLOOKUP('Données projet'!$B$9,Paramètres!$A$1:$I$89,3,0)*0.475*44/12</f>
        <v>22.054785085626609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81.05298518110807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167</v>
      </c>
      <c r="AG98" s="13">
        <f>VLOOKUP(A98,'Données projet'!$A$61:$I$81,9,0)</f>
        <v>3.2</v>
      </c>
      <c r="AH98" s="13">
        <f t="array" ref="AH98">INDEX(AG:AG,MIN(IF(ISNUMBER(AG98:AG294),ROW(AG98:AG294),"")))</f>
        <v>3.2</v>
      </c>
      <c r="AI98" s="14">
        <f>IF('Données projet'!$A$62&gt;35,AI97+AH98-AQ97,IF(A98&lt;'Données projet'!$A$62,$AF$205^A98,IF(A98='Données projet'!$A$62,'Données projet'!$B$62,AI97+AH98-AQ97)))</f>
        <v>167</v>
      </c>
      <c r="AJ98" s="14">
        <f>AI98*VLOOKUP('Données projet'!$B$10,Paramètres!$A$1:$I$89,3,0)*VLOOKUP('Données projet'!$B$10,Paramètres!$A$1:$I$89,5,0)</f>
        <v>161.5224</v>
      </c>
      <c r="AK98" s="14">
        <f t="shared" si="89"/>
        <v>41.185707490721896</v>
      </c>
      <c r="AL98" s="22">
        <f t="shared" si="58"/>
        <v>353.04995387967392</v>
      </c>
      <c r="AM98" s="62">
        <f t="shared" si="59"/>
        <v>628.9973997984398</v>
      </c>
      <c r="AN98" s="62">
        <f ca="1">AVERAGE(OFFSET($AM$3,0,0,'Données projet'!$E$10+1,1))-AVERAGE(OFFSET($H$3,0,0,'Données projet'!$E$10+1,1))</f>
        <v>265.30115826265654</v>
      </c>
      <c r="AO98" s="62">
        <f t="shared" si="90"/>
        <v>187.99130270616999</v>
      </c>
      <c r="AP98" s="16">
        <f>IF(ISNA(VLOOKUP(A98,'Données projet'!$A$61:$I$81,3,0)),0,VLOOKUP(A98,'Données projet'!$A$61:$I$81,3,0))</f>
        <v>16</v>
      </c>
      <c r="AQ98" s="16">
        <f>IF(ISNA(VLOOKUP(A98,'Données projet'!$A$61:$I$81,4,0)),0,VLOOKUP(A98,'Données projet'!$A$61:$I$81,4,0))</f>
        <v>14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0.215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15.380042043749004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15.380042043749004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167</v>
      </c>
      <c r="BB98" s="13">
        <f>VLOOKUP(A98,'Données projet'!$A$87:$I$107,9,0)</f>
        <v>3.2</v>
      </c>
      <c r="BC98" s="13">
        <f t="array" ref="BC98">INDEX(BB:BB,MIN(IF(ISNUMBER(BB98:BB294),ROW(BB98:BB294),"")))</f>
        <v>3.2</v>
      </c>
      <c r="BD98" s="13">
        <f>IF('Données projet'!$A$88&gt;35,BD97+BC98-BL97,IF(A98&lt;'Données projet'!$A$88,$BA$205^A98,IF(A98='Données projet'!$A$88,'Données projet'!$B$88,BD97+BC98-BL97)))</f>
        <v>167</v>
      </c>
      <c r="BE98" s="14">
        <f>BD98*VLOOKUP('Données projet'!$B$11,Paramètres!$A$1:$I$89,3,0)*VLOOKUP('Données projet'!$B$11,Paramètres!$A$1:$I$89,5,0)</f>
        <v>179.75879999999998</v>
      </c>
      <c r="BF98" s="14">
        <f t="shared" si="91"/>
        <v>45.268519423286527</v>
      </c>
      <c r="BG98" s="22">
        <f t="shared" si="61"/>
        <v>391.92258132889066</v>
      </c>
      <c r="BH98" s="62">
        <f t="shared" si="62"/>
        <v>667.87002724765659</v>
      </c>
      <c r="BI98" s="62">
        <f ca="1">AVERAGE(OFFSET($BH$3,0,0,'Données projet'!$E$11+1,1))-AVERAGE(OFFSET($H$3,0,0,'Données projet'!$E$11+1,1))</f>
        <v>287.77879820226661</v>
      </c>
      <c r="BJ98" s="62">
        <f t="shared" si="92"/>
        <v>202.51334141855753</v>
      </c>
      <c r="BK98" s="16">
        <f>IF(ISNA(VLOOKUP(A98,'Données projet'!$A$87:$I$107,3,0)),0,VLOOKUP(A98,'Données projet'!$A$87:$I$107,3,0))</f>
        <v>16</v>
      </c>
      <c r="BL98" s="16">
        <f>IF(ISNA(VLOOKUP(A98,'Données projet'!$A$87:$I$107,4,0)),0,VLOOKUP(A98,'Données projet'!$A$87:$I$107,4,0))</f>
        <v>14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0.215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17.116498403527125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17.116498403527125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5.6</v>
      </c>
      <c r="N99" s="14">
        <f>IF('Données projet'!$A$36&gt;35,N98+M99-V98,IF(A99&lt;'Données projet'!$A$36,$K$205^A99,IF(A99='Données projet'!$A$36,'Données projet'!$B$36,N98+M99-V98)))</f>
        <v>310.59999999999991</v>
      </c>
      <c r="O99" s="14">
        <f>N99*VLOOKUP('Données projet'!$B$9,Paramètres!$A$1:$I$89,3,0)*VLOOKUP('Données projet'!$B$9,Paramètres!$A$1:$I$89,5,0)</f>
        <v>281.03087999999991</v>
      </c>
      <c r="P99" s="14">
        <f t="shared" si="87"/>
        <v>67.184816842275467</v>
      </c>
      <c r="Q99" s="22">
        <f t="shared" ref="Q99:Q130" si="107">(O99+P99)*0.475*44/12</f>
        <v>606.4756720002963</v>
      </c>
      <c r="R99" s="62">
        <f t="shared" si="55"/>
        <v>882.72472419668372</v>
      </c>
      <c r="S99" s="62">
        <f ca="1">AVERAGE(OFFSET($R$3,0,0,'Données projet'!$E$9+1,1))-AVERAGE(OFFSET($H$3,0,0,'Données projet'!$E$9+1,1))</f>
        <v>435.66722289172486</v>
      </c>
      <c r="T99" s="62">
        <f t="shared" si="88"/>
        <v>297.32483725004136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57.841281376957866</v>
      </c>
      <c r="AA99" s="23">
        <f>EXP(-LN(2)/25)*AA98+(1-EXP(-LN(2)/25))/(LN(2)/25)*Calculateur!V99*Calculateur!X99*VLOOKUP('Données projet'!$B$9,Paramètres!$A$1:$I$89,3,0)*0.475*44/12</f>
        <v>21.451695827649409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79.292977204607269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2.8</v>
      </c>
      <c r="AI99" s="14">
        <f>IF('Données projet'!$A$62&gt;35,AI98+AH99-AQ98,IF(A99&lt;'Données projet'!$A$62,$AF$205^A99,IF(A99='Données projet'!$A$62,'Données projet'!$B$62,AI98+AH99-AQ98)))</f>
        <v>155.80000000000001</v>
      </c>
      <c r="AJ99" s="14">
        <f>AI99*VLOOKUP('Données projet'!$B$10,Paramètres!$A$1:$I$89,3,0)*VLOOKUP('Données projet'!$B$10,Paramètres!$A$1:$I$89,5,0)</f>
        <v>150.68976000000001</v>
      </c>
      <c r="AK99" s="14">
        <f t="shared" si="89"/>
        <v>38.735294176946205</v>
      </c>
      <c r="AL99" s="22">
        <f t="shared" si="58"/>
        <v>329.91530269151468</v>
      </c>
      <c r="AM99" s="62">
        <f t="shared" si="59"/>
        <v>606.16435488790216</v>
      </c>
      <c r="AN99" s="62">
        <f ca="1">AVERAGE(OFFSET($AM$3,0,0,'Données projet'!$E$10+1,1))-AVERAGE(OFFSET($H$3,0,0,'Données projet'!$E$10+1,1))</f>
        <v>265.30115826265654</v>
      </c>
      <c r="AO99" s="62">
        <f t="shared" si="90"/>
        <v>187.99130270616999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14.959473985261427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14.959473985261427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2.8</v>
      </c>
      <c r="BD99" s="13">
        <f>IF('Données projet'!$A$88&gt;35,BD98+BC99-BL98,IF(A99&lt;'Données projet'!$A$88,$BA$205^A99,IF(A99='Données projet'!$A$88,'Données projet'!$B$88,BD98+BC99-BL98)))</f>
        <v>155.80000000000001</v>
      </c>
      <c r="BE99" s="14">
        <f>BD99*VLOOKUP('Données projet'!$B$11,Paramètres!$A$1:$I$89,3,0)*VLOOKUP('Données projet'!$B$11,Paramètres!$A$1:$I$89,5,0)</f>
        <v>167.70312000000001</v>
      </c>
      <c r="BF99" s="14">
        <f t="shared" si="91"/>
        <v>42.575192309390879</v>
      </c>
      <c r="BG99" s="22">
        <f t="shared" si="61"/>
        <v>366.2347272721891</v>
      </c>
      <c r="BH99" s="62">
        <f t="shared" si="62"/>
        <v>642.48377946857659</v>
      </c>
      <c r="BI99" s="62">
        <f ca="1">AVERAGE(OFFSET($BH$3,0,0,'Données projet'!$E$11+1,1))-AVERAGE(OFFSET($H$3,0,0,'Données projet'!$E$11+1,1))</f>
        <v>287.77879820226661</v>
      </c>
      <c r="BJ99" s="62">
        <f t="shared" si="92"/>
        <v>202.51334141855753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16.648446854565144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16.648446854565144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5.6</v>
      </c>
      <c r="N100" s="14">
        <f>IF('Données projet'!$A$36&gt;35,N99+M100-V99,IF(A100&lt;'Données projet'!$A$36,$K$205^A100,IF(A100='Données projet'!$A$36,'Données projet'!$B$36,N99+M100-V99)))</f>
        <v>316.19999999999993</v>
      </c>
      <c r="O100" s="14">
        <f>N100*VLOOKUP('Données projet'!$B$9,Paramètres!$A$1:$I$89,3,0)*VLOOKUP('Données projet'!$B$9,Paramètres!$A$1:$I$89,5,0)</f>
        <v>286.09775999999994</v>
      </c>
      <c r="P100" s="14">
        <f t="shared" si="87"/>
        <v>68.254020651723678</v>
      </c>
      <c r="Q100" s="22">
        <f t="shared" si="107"/>
        <v>617.16268463508527</v>
      </c>
      <c r="R100" s="62">
        <f t="shared" si="55"/>
        <v>893.70811091446808</v>
      </c>
      <c r="S100" s="62">
        <f ca="1">AVERAGE(OFFSET($R$3,0,0,'Données projet'!$E$9+1,1))-AVERAGE(OFFSET($H$3,0,0,'Données projet'!$E$9+1,1))</f>
        <v>435.66722289172486</v>
      </c>
      <c r="T100" s="62">
        <f t="shared" si="88"/>
        <v>297.32483725004136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56.707049128853782</v>
      </c>
      <c r="AA100" s="23">
        <f>EXP(-LN(2)/25)*AA99+(1-EXP(-LN(2)/25))/(LN(2)/25)*Calculateur!V100*Calculateur!X100*VLOOKUP('Données projet'!$B$9,Paramètres!$A$1:$I$89,3,0)*0.475*44/12</f>
        <v>20.86509807714668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77.572147206000466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2.8</v>
      </c>
      <c r="AI100" s="14">
        <f>IF('Données projet'!$A$62&gt;35,AI99+AH100-AQ99,IF(A100&lt;'Données projet'!$A$62,$AF$205^A100,IF(A100='Données projet'!$A$62,'Données projet'!$B$62,AI99+AH100-AQ99)))</f>
        <v>158.60000000000002</v>
      </c>
      <c r="AJ100" s="14">
        <f>AI100*VLOOKUP('Données projet'!$B$10,Paramètres!$A$1:$I$89,3,0)*VLOOKUP('Données projet'!$B$10,Paramètres!$A$1:$I$89,5,0)</f>
        <v>153.39792000000003</v>
      </c>
      <c r="AK100" s="14">
        <f t="shared" si="89"/>
        <v>39.349765565193408</v>
      </c>
      <c r="AL100" s="22">
        <f t="shared" si="58"/>
        <v>335.70221902604521</v>
      </c>
      <c r="AM100" s="62">
        <f t="shared" si="59"/>
        <v>612.24764530542802</v>
      </c>
      <c r="AN100" s="62">
        <f ca="1">AVERAGE(OFFSET($AM$3,0,0,'Données projet'!$E$10+1,1))-AVERAGE(OFFSET($H$3,0,0,'Données projet'!$E$10+1,1))</f>
        <v>265.30115826265654</v>
      </c>
      <c r="AO100" s="62">
        <f t="shared" si="90"/>
        <v>187.99130270616999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14.550406382449907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14.550406382449907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2.8</v>
      </c>
      <c r="BD100" s="13">
        <f>IF('Données projet'!$A$88&gt;35,BD99+BC100-BL99,IF(A100&lt;'Données projet'!$A$88,$BA$205^A100,IF(A100='Données projet'!$A$88,'Données projet'!$B$88,BD99+BC100-BL99)))</f>
        <v>158.60000000000002</v>
      </c>
      <c r="BE100" s="14">
        <f>BD100*VLOOKUP('Données projet'!$B$11,Paramètres!$A$1:$I$89,3,0)*VLOOKUP('Données projet'!$B$11,Paramètres!$A$1:$I$89,5,0)</f>
        <v>170.71704000000003</v>
      </c>
      <c r="BF100" s="14">
        <f t="shared" si="91"/>
        <v>43.250577331736032</v>
      </c>
      <c r="BG100" s="22">
        <f t="shared" si="61"/>
        <v>372.66026685277365</v>
      </c>
      <c r="BH100" s="62">
        <f t="shared" si="62"/>
        <v>649.20569313215651</v>
      </c>
      <c r="BI100" s="62">
        <f ca="1">AVERAGE(OFFSET($BH$3,0,0,'Données projet'!$E$11+1,1))-AVERAGE(OFFSET($H$3,0,0,'Données projet'!$E$11+1,1))</f>
        <v>287.77879820226661</v>
      </c>
      <c r="BJ100" s="62">
        <f t="shared" si="92"/>
        <v>202.51334141855753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16.193194199823289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16.193194199823289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5.6</v>
      </c>
      <c r="N101" s="14">
        <f>IF('Données projet'!$A$36&gt;35,N100+M101-V100,IF(A101&lt;'Données projet'!$A$36,$K$205^A101,IF(A101='Données projet'!$A$36,'Données projet'!$B$36,N100+M101-V100)))</f>
        <v>321.79999999999995</v>
      </c>
      <c r="O101" s="14">
        <f>N101*VLOOKUP('Données projet'!$B$9,Paramètres!$A$1:$I$89,3,0)*VLOOKUP('Données projet'!$B$9,Paramètres!$A$1:$I$89,5,0)</f>
        <v>291.16463999999991</v>
      </c>
      <c r="P101" s="14">
        <f t="shared" si="87"/>
        <v>69.321022467464644</v>
      </c>
      <c r="Q101" s="22">
        <f t="shared" si="107"/>
        <v>627.84586213083401</v>
      </c>
      <c r="R101" s="62">
        <f t="shared" si="55"/>
        <v>904.68252106546538</v>
      </c>
      <c r="S101" s="62">
        <f ca="1">AVERAGE(OFFSET($R$3,0,0,'Données projet'!$E$9+1,1))-AVERAGE(OFFSET($H$3,0,0,'Données projet'!$E$9+1,1))</f>
        <v>435.66722289172486</v>
      </c>
      <c r="T101" s="62">
        <f t="shared" si="88"/>
        <v>297.32483725004136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55.595058483321658</v>
      </c>
      <c r="AA101" s="23">
        <f>EXP(-LN(2)/25)*AA100+(1-EXP(-LN(2)/25))/(LN(2)/25)*Calculateur!V101*Calculateur!X101*VLOOKUP('Données projet'!$B$9,Paramètres!$A$1:$I$89,3,0)*0.475*44/12</f>
        <v>20.294540872979283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75.889599356300948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2.8</v>
      </c>
      <c r="AI101" s="14">
        <f>IF('Données projet'!$A$62&gt;35,AI100+AH101-AQ100,IF(A101&lt;'Données projet'!$A$62,$AF$205^A101,IF(A101='Données projet'!$A$62,'Données projet'!$B$62,AI100+AH101-AQ100)))</f>
        <v>161.40000000000003</v>
      </c>
      <c r="AJ101" s="14">
        <f>AI101*VLOOKUP('Données projet'!$B$10,Paramètres!$A$1:$I$89,3,0)*VLOOKUP('Données projet'!$B$10,Paramètres!$A$1:$I$89,5,0)</f>
        <v>156.10608000000005</v>
      </c>
      <c r="AK101" s="14">
        <f t="shared" si="89"/>
        <v>39.962975453633931</v>
      </c>
      <c r="AL101" s="22">
        <f t="shared" si="58"/>
        <v>341.48693824841251</v>
      </c>
      <c r="AM101" s="62">
        <f t="shared" si="59"/>
        <v>618.32359718304383</v>
      </c>
      <c r="AN101" s="62">
        <f ca="1">AVERAGE(OFFSET($AM$3,0,0,'Données projet'!$E$10+1,1))-AVERAGE(OFFSET($H$3,0,0,'Données projet'!$E$10+1,1))</f>
        <v>265.30115826265654</v>
      </c>
      <c r="AO101" s="62">
        <f t="shared" si="90"/>
        <v>187.99130270616999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14.152524754749198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14.152524754749198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2.8</v>
      </c>
      <c r="BD101" s="13">
        <f>IF('Données projet'!$A$88&gt;35,BD100+BC101-BL100,IF(A101&lt;'Données projet'!$A$88,$BA$205^A101,IF(A101='Données projet'!$A$88,'Données projet'!$B$88,BD100+BC101-BL100)))</f>
        <v>161.40000000000003</v>
      </c>
      <c r="BE101" s="14">
        <f>BD101*VLOOKUP('Données projet'!$B$11,Paramètres!$A$1:$I$89,3,0)*VLOOKUP('Données projet'!$B$11,Paramètres!$A$1:$I$89,5,0)</f>
        <v>173.73096000000004</v>
      </c>
      <c r="BF101" s="14">
        <f t="shared" si="91"/>
        <v>43.924575799570412</v>
      </c>
      <c r="BG101" s="22">
        <f t="shared" si="61"/>
        <v>379.0833915175852</v>
      </c>
      <c r="BH101" s="62">
        <f t="shared" si="62"/>
        <v>655.92005045221663</v>
      </c>
      <c r="BI101" s="62">
        <f ca="1">AVERAGE(OFFSET($BH$3,0,0,'Données projet'!$E$11+1,1))-AVERAGE(OFFSET($H$3,0,0,'Données projet'!$E$11+1,1))</f>
        <v>287.77879820226661</v>
      </c>
      <c r="BJ101" s="62">
        <f t="shared" si="92"/>
        <v>202.51334141855753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15.750390452866048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15.750390452866048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5.6</v>
      </c>
      <c r="N102" s="14">
        <f>IF('Données projet'!$A$36&gt;35,N101+M102-V101,IF(A102&lt;'Données projet'!$A$36,$K$205^A102,IF(A102='Données projet'!$A$36,'Données projet'!$B$36,N101+M102-V101)))</f>
        <v>327.39999999999998</v>
      </c>
      <c r="O102" s="14">
        <f>N102*VLOOKUP('Données projet'!$B$9,Paramètres!$A$1:$I$89,3,0)*VLOOKUP('Données projet'!$B$9,Paramètres!$A$1:$I$89,5,0)</f>
        <v>296.23151999999993</v>
      </c>
      <c r="P102" s="14">
        <f t="shared" si="87"/>
        <v>70.385865030263986</v>
      </c>
      <c r="Q102" s="22">
        <f t="shared" si="107"/>
        <v>638.52527892770956</v>
      </c>
      <c r="R102" s="62">
        <f t="shared" si="55"/>
        <v>915.64811828211964</v>
      </c>
      <c r="S102" s="62">
        <f ca="1">AVERAGE(OFFSET($R$3,0,0,'Données projet'!$E$9+1,1))-AVERAGE(OFFSET($H$3,0,0,'Données projet'!$E$9+1,1))</f>
        <v>435.66722289172486</v>
      </c>
      <c r="T102" s="62">
        <f t="shared" si="88"/>
        <v>297.32483725004136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54.504873296101096</v>
      </c>
      <c r="AA102" s="23">
        <f>EXP(-LN(2)/25)*AA101+(1-EXP(-LN(2)/25))/(LN(2)/25)*Calculateur!V102*Calculateur!X102*VLOOKUP('Données projet'!$B$9,Paramètres!$A$1:$I$89,3,0)*0.475*44/12</f>
        <v>19.739585585564143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74.244458881665238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2.8</v>
      </c>
      <c r="AI102" s="14">
        <f>IF('Données projet'!$A$62&gt;35,AI101+AH102-AQ101,IF(A102&lt;'Données projet'!$A$62,$AF$205^A102,IF(A102='Données projet'!$A$62,'Données projet'!$B$62,AI101+AH102-AQ101)))</f>
        <v>164.20000000000005</v>
      </c>
      <c r="AJ102" s="14">
        <f>AI102*VLOOKUP('Données projet'!$B$10,Paramètres!$A$1:$I$89,3,0)*VLOOKUP('Données projet'!$B$10,Paramètres!$A$1:$I$89,5,0)</f>
        <v>158.81424000000004</v>
      </c>
      <c r="AK102" s="14">
        <f t="shared" si="89"/>
        <v>40.574948252224658</v>
      </c>
      <c r="AL102" s="22">
        <f t="shared" si="58"/>
        <v>347.26950287262463</v>
      </c>
      <c r="AM102" s="62">
        <f t="shared" si="59"/>
        <v>624.39234222703476</v>
      </c>
      <c r="AN102" s="62">
        <f ca="1">AVERAGE(OFFSET($AM$3,0,0,'Données projet'!$E$10+1,1))-AVERAGE(OFFSET($H$3,0,0,'Données projet'!$E$10+1,1))</f>
        <v>265.30115826265654</v>
      </c>
      <c r="AO102" s="62">
        <f t="shared" si="90"/>
        <v>187.99130270616999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13.765523221081651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13.765523221081651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2.8</v>
      </c>
      <c r="BD102" s="13">
        <f>IF('Données projet'!$A$88&gt;35,BD101+BC102-BL101,IF(A102&lt;'Données projet'!$A$88,$BA$205^A102,IF(A102='Données projet'!$A$88,'Données projet'!$B$88,BD101+BC102-BL101)))</f>
        <v>164.20000000000005</v>
      </c>
      <c r="BE102" s="14">
        <f>BD102*VLOOKUP('Données projet'!$B$11,Paramètres!$A$1:$I$89,3,0)*VLOOKUP('Données projet'!$B$11,Paramètres!$A$1:$I$89,5,0)</f>
        <v>176.74488000000002</v>
      </c>
      <c r="BF102" s="14">
        <f t="shared" si="91"/>
        <v>44.59721454265302</v>
      </c>
      <c r="BG102" s="22">
        <f t="shared" si="61"/>
        <v>385.50414799512072</v>
      </c>
      <c r="BH102" s="62">
        <f t="shared" si="62"/>
        <v>662.62698734953085</v>
      </c>
      <c r="BI102" s="62">
        <f ca="1">AVERAGE(OFFSET($BH$3,0,0,'Données projet'!$E$11+1,1))-AVERAGE(OFFSET($H$3,0,0,'Données projet'!$E$11+1,1))</f>
        <v>287.77879820226661</v>
      </c>
      <c r="BJ102" s="62">
        <f t="shared" si="92"/>
        <v>202.51334141855753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15.31969519765539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15.31969519765539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333</v>
      </c>
      <c r="L103" s="13">
        <f>VLOOKUP(A103,'Données projet'!$A$35:$I$55,9,0)</f>
        <v>5.6</v>
      </c>
      <c r="M103" s="13">
        <f t="array" ref="M103">INDEX(L:L,MIN(IF(ISNUMBER(L103:L299),ROW(L103:L299),"")))</f>
        <v>5.6</v>
      </c>
      <c r="N103" s="14">
        <f>IF('Données projet'!$A$36&gt;35,N102+M103-V102,IF(A103&lt;'Données projet'!$A$36,$K$205^A103,IF(A103='Données projet'!$A$36,'Données projet'!$B$36,N102+M103-V102)))</f>
        <v>333</v>
      </c>
      <c r="O103" s="14">
        <f>N103*VLOOKUP('Données projet'!$B$9,Paramètres!$A$1:$I$89,3,0)*VLOOKUP('Données projet'!$B$9,Paramètres!$A$1:$I$89,5,0)</f>
        <v>301.29840000000002</v>
      </c>
      <c r="P103" s="14">
        <f t="shared" si="87"/>
        <v>71.448589534990518</v>
      </c>
      <c r="Q103" s="22">
        <f t="shared" si="107"/>
        <v>649.2010067734418</v>
      </c>
      <c r="R103" s="62">
        <f t="shared" si="55"/>
        <v>926.60506195715107</v>
      </c>
      <c r="S103" s="62">
        <f ca="1">AVERAGE(OFFSET($R$3,0,0,'Données projet'!$E$9+1,1))-AVERAGE(OFFSET($H$3,0,0,'Données projet'!$E$9+1,1))</f>
        <v>435.66722289172486</v>
      </c>
      <c r="T103" s="62">
        <f t="shared" si="88"/>
        <v>297.32483725004136</v>
      </c>
      <c r="U103" s="16">
        <f>IF(ISNA(VLOOKUP(A103,'Données projet'!$A$35:$I$55,3,0)),0,VLOOKUP(A103,'Données projet'!$A$35:$I$55,3,0))</f>
        <v>17</v>
      </c>
      <c r="V103" s="16">
        <f>IF(ISNA(VLOOKUP(A103,'Données projet'!$A$35:$I$55,4,0)),0,VLOOKUP(A103,'Données projet'!$A$35:$I$55,4,0))</f>
        <v>333</v>
      </c>
      <c r="W103" s="17">
        <f>IF(ISNA(VLOOKUP(A103,'Données projet'!$A$35:$I$55,5,0)),0%,VLOOKUP(A103,'Données projet'!$A$35:$I$55,5,0)*VLOOKUP('Données projet'!$B$9,Paramètres!$A$1:$I$89,7,0))</f>
        <v>0.32250000000000001</v>
      </c>
      <c r="X103" s="17">
        <f>IF(ISNA(VLOOKUP(A103,'Données projet'!$A$35:$I$55,6,0)),0%,VLOOKUP(A103,'Données projet'!$A$35:$I$55,6,0)*VLOOKUP('Données projet'!$B$9,Paramètres!$A$1:$I$89,7,0))</f>
        <v>0.1075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160.85322322917091</v>
      </c>
      <c r="AA103" s="23">
        <f>EXP(-LN(2)/25)*AA102+(1-EXP(-LN(2)/25))/(LN(2)/25)*Calculateur!V103*Calculateur!X103*VLOOKUP('Données projet'!$B$9,Paramètres!$A$1:$I$89,3,0)*0.475*44/12</f>
        <v>54.864543905154754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215.71776713432567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167</v>
      </c>
      <c r="AG103" s="13">
        <f>VLOOKUP(A103,'Données projet'!$A$61:$I$81,9,0)</f>
        <v>2.8</v>
      </c>
      <c r="AH103" s="13">
        <f t="array" ref="AH103">INDEX(AG:AG,MIN(IF(ISNUMBER(AG103:AG299),ROW(AG103:AG299),"")))</f>
        <v>2.8</v>
      </c>
      <c r="AI103" s="14">
        <f>IF('Données projet'!$A$62&gt;35,AI102+AH103-AQ102,IF(A103&lt;'Données projet'!$A$62,$AF$205^A103,IF(A103='Données projet'!$A$62,'Données projet'!$B$62,AI102+AH103-AQ102)))</f>
        <v>167.00000000000006</v>
      </c>
      <c r="AJ103" s="14">
        <f>AI103*VLOOKUP('Données projet'!$B$10,Paramètres!$A$1:$I$89,3,0)*VLOOKUP('Données projet'!$B$10,Paramètres!$A$1:$I$89,5,0)</f>
        <v>161.52240000000006</v>
      </c>
      <c r="AK103" s="14">
        <f t="shared" si="89"/>
        <v>41.185707490721931</v>
      </c>
      <c r="AL103" s="22">
        <f t="shared" si="58"/>
        <v>353.04995387967415</v>
      </c>
      <c r="AM103" s="62">
        <f t="shared" si="59"/>
        <v>630.45400906338341</v>
      </c>
      <c r="AN103" s="62">
        <f ca="1">AVERAGE(OFFSET($AM$3,0,0,'Données projet'!$E$10+1,1))-AVERAGE(OFFSET($H$3,0,0,'Données projet'!$E$10+1,1))</f>
        <v>265.30115826265654</v>
      </c>
      <c r="AO103" s="62">
        <f t="shared" si="90"/>
        <v>187.99130270616999</v>
      </c>
      <c r="AP103" s="16">
        <f>IF(ISNA(VLOOKUP(A103,'Données projet'!$A$61:$I$81,3,0)),0,VLOOKUP(A103,'Données projet'!$A$61:$I$81,3,0))</f>
        <v>17</v>
      </c>
      <c r="AQ103" s="16">
        <f>IF(ISNA(VLOOKUP(A103,'Données projet'!$A$61:$I$81,4,0)),0,VLOOKUP(A103,'Données projet'!$A$61:$I$81,4,0))</f>
        <v>167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0.215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51.627967330055142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51.627967330055142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167</v>
      </c>
      <c r="BB103" s="13">
        <f>VLOOKUP(A103,'Données projet'!$A$87:$I$107,9,0)</f>
        <v>2.8</v>
      </c>
      <c r="BC103" s="13">
        <f t="array" ref="BC103">INDEX(BB:BB,MIN(IF(ISNUMBER(BB103:BB299),ROW(BB103:BB299),"")))</f>
        <v>2.8</v>
      </c>
      <c r="BD103" s="13">
        <f>IF('Données projet'!$A$88&gt;35,BD102+BC103-BL102,IF(A103&lt;'Données projet'!$A$88,$BA$205^A103,IF(A103='Données projet'!$A$88,'Données projet'!$B$88,BD102+BC103-BL102)))</f>
        <v>167.00000000000006</v>
      </c>
      <c r="BE103" s="14">
        <f>BD103*VLOOKUP('Données projet'!$B$11,Paramètres!$A$1:$I$89,3,0)*VLOOKUP('Données projet'!$B$11,Paramètres!$A$1:$I$89,5,0)</f>
        <v>179.75880000000006</v>
      </c>
      <c r="BF103" s="14">
        <f t="shared" si="91"/>
        <v>45.26851942328657</v>
      </c>
      <c r="BG103" s="22">
        <f t="shared" si="61"/>
        <v>391.92258132889083</v>
      </c>
      <c r="BH103" s="62">
        <f t="shared" si="62"/>
        <v>669.32663651260009</v>
      </c>
      <c r="BI103" s="62">
        <f ca="1">AVERAGE(OFFSET($BH$3,0,0,'Données projet'!$E$11+1,1))-AVERAGE(OFFSET($H$3,0,0,'Données projet'!$E$11+1,1))</f>
        <v>287.77879820226661</v>
      </c>
      <c r="BJ103" s="62">
        <f t="shared" si="92"/>
        <v>202.51334141855753</v>
      </c>
      <c r="BK103" s="16">
        <f>IF(ISNA(VLOOKUP(A103,'Données projet'!$A$87:$I$107,3,0)),0,VLOOKUP(A103,'Données projet'!$A$87:$I$107,3,0))</f>
        <v>17</v>
      </c>
      <c r="BL103" s="16">
        <f>IF(ISNA(VLOOKUP(A103,'Données projet'!$A$87:$I$107,4,0)),0,VLOOKUP(A103,'Données projet'!$A$87:$I$107,4,0))</f>
        <v>167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0.215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57.456931383448463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57.456931383448463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435.66722289172486</v>
      </c>
      <c r="T104" s="62">
        <f t="shared" si="88"/>
        <v>297.32483725004136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157.69898963242539</v>
      </c>
      <c r="AA104" s="23">
        <f>EXP(-LN(2)/25)*AA103+(1-EXP(-LN(2)/25))/(LN(2)/25)*Calculateur!V104*Calculateur!X104*VLOOKUP('Données projet'!$B$9,Paramètres!$A$1:$I$89,3,0)*0.475*44/12</f>
        <v>53.364270066867327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211.06325969929273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5.6843418860808015E-14</v>
      </c>
      <c r="AJ104" s="14">
        <f>AI104*VLOOKUP('Données projet'!$B$10,Paramètres!$A$1:$I$89,3,0)*VLOOKUP('Données projet'!$B$10,Paramètres!$A$1:$I$89,5,0)</f>
        <v>5.4978954722173515E-14</v>
      </c>
      <c r="AK104" s="14">
        <f t="shared" si="89"/>
        <v>8.8550225887742724E-13</v>
      </c>
      <c r="AL104" s="22">
        <f t="shared" si="58"/>
        <v>1.6380047803526383E-12</v>
      </c>
      <c r="AM104" s="62">
        <f t="shared" si="59"/>
        <v>277.68039254707605</v>
      </c>
      <c r="AN104" s="62">
        <f ca="1">AVERAGE(OFFSET($AM$3,0,0,'Données projet'!$E$10+1,1))-AVERAGE(OFFSET($H$3,0,0,'Données projet'!$E$10+1,1))</f>
        <v>265.30115826265654</v>
      </c>
      <c r="AO104" s="62">
        <f t="shared" si="90"/>
        <v>187.99130270616999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50.216197848417977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50.216197848417977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5.6843418860808015E-14</v>
      </c>
      <c r="BE104" s="14">
        <f>BD104*VLOOKUP('Données projet'!$B$11,Paramètres!$A$1:$I$89,3,0)*VLOOKUP('Données projet'!$B$11,Paramètres!$A$1:$I$89,5,0)</f>
        <v>6.1186256061773749E-14</v>
      </c>
      <c r="BF104" s="14">
        <f t="shared" si="91"/>
        <v>9.7328366192051127E-13</v>
      </c>
      <c r="BG104" s="22">
        <f t="shared" si="61"/>
        <v>1.8017017738191463E-12</v>
      </c>
      <c r="BH104" s="62">
        <f t="shared" si="62"/>
        <v>277.68039254707622</v>
      </c>
      <c r="BI104" s="62">
        <f ca="1">AVERAGE(OFFSET($BH$3,0,0,'Données projet'!$E$11+1,1))-AVERAGE(OFFSET($H$3,0,0,'Données projet'!$E$11+1,1))</f>
        <v>287.77879820226661</v>
      </c>
      <c r="BJ104" s="62">
        <f t="shared" si="92"/>
        <v>202.51334141855753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55.885768573239361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55.885768573239361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435.66722289172486</v>
      </c>
      <c r="T105" s="62">
        <f t="shared" si="88"/>
        <v>297.32483725004136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154.60660863261955</v>
      </c>
      <c r="AA105" s="23">
        <f>EXP(-LN(2)/25)*AA104+(1-EXP(-LN(2)/25))/(LN(2)/25)*Calculateur!V105*Calculateur!X105*VLOOKUP('Données projet'!$B$9,Paramètres!$A$1:$I$89,3,0)*0.475*44/12</f>
        <v>51.905021295583843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206.5116299282034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5.6843418860808015E-14</v>
      </c>
      <c r="AJ105" s="14">
        <f>AI105*VLOOKUP('Données projet'!$B$10,Paramètres!$A$1:$I$89,3,0)*VLOOKUP('Données projet'!$B$10,Paramètres!$A$1:$I$89,5,0)</f>
        <v>5.4978954722173515E-14</v>
      </c>
      <c r="AK105" s="14">
        <f t="shared" si="89"/>
        <v>8.8550225887742724E-13</v>
      </c>
      <c r="AL105" s="22">
        <f t="shared" si="58"/>
        <v>1.6380047803526383E-12</v>
      </c>
      <c r="AM105" s="62">
        <f t="shared" si="59"/>
        <v>277.95193607498459</v>
      </c>
      <c r="AN105" s="62">
        <f ca="1">AVERAGE(OFFSET($AM$3,0,0,'Données projet'!$E$10+1,1))-AVERAGE(OFFSET($H$3,0,0,'Données projet'!$E$10+1,1))</f>
        <v>265.30115826265654</v>
      </c>
      <c r="AO105" s="62">
        <f t="shared" si="90"/>
        <v>187.99130270616999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48.843033277497916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48.843033277497916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5.6843418860808015E-14</v>
      </c>
      <c r="BE105" s="14">
        <f>BD105*VLOOKUP('Données projet'!$B$11,Paramètres!$A$1:$I$89,3,0)*VLOOKUP('Données projet'!$B$11,Paramètres!$A$1:$I$89,5,0)</f>
        <v>6.1186256061773749E-14</v>
      </c>
      <c r="BF105" s="14">
        <f t="shared" si="91"/>
        <v>9.7328366192051127E-13</v>
      </c>
      <c r="BG105" s="22">
        <f t="shared" si="61"/>
        <v>1.8017017738191463E-12</v>
      </c>
      <c r="BH105" s="62">
        <f t="shared" si="62"/>
        <v>277.95193607498476</v>
      </c>
      <c r="BI105" s="62">
        <f ca="1">AVERAGE(OFFSET($BH$3,0,0,'Données projet'!$E$11+1,1))-AVERAGE(OFFSET($H$3,0,0,'Données projet'!$E$11+1,1))</f>
        <v>287.77879820226661</v>
      </c>
      <c r="BJ105" s="62">
        <f t="shared" si="92"/>
        <v>202.51334141855753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54.357569292699289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54.357569292699289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435.66722289172486</v>
      </c>
      <c r="T106" s="62">
        <f t="shared" si="88"/>
        <v>297.32483725004136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151.57486733805374</v>
      </c>
      <c r="AA106" s="23">
        <f>EXP(-LN(2)/25)*AA105+(1-EXP(-LN(2)/25))/(LN(2)/25)*Calculateur!V106*Calculateur!X106*VLOOKUP('Données projet'!$B$9,Paramètres!$A$1:$I$89,3,0)*0.475*44/12</f>
        <v>50.485675758689666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202.0605430967434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5.6843418860808015E-14</v>
      </c>
      <c r="AJ106" s="14">
        <f>AI106*VLOOKUP('Données projet'!$B$10,Paramètres!$A$1:$I$89,3,0)*VLOOKUP('Données projet'!$B$10,Paramètres!$A$1:$I$89,5,0)</f>
        <v>5.4978954722173515E-14</v>
      </c>
      <c r="AK106" s="14">
        <f t="shared" si="89"/>
        <v>8.8550225887742724E-13</v>
      </c>
      <c r="AL106" s="22">
        <f t="shared" si="58"/>
        <v>1.6380047803526383E-12</v>
      </c>
      <c r="AM106" s="62">
        <f t="shared" si="59"/>
        <v>278.21876892976434</v>
      </c>
      <c r="AN106" s="62">
        <f ca="1">AVERAGE(OFFSET($AM$3,0,0,'Données projet'!$E$10+1,1))-AVERAGE(OFFSET($H$3,0,0,'Données projet'!$E$10+1,1))</f>
        <v>265.30115826265654</v>
      </c>
      <c r="AO106" s="62">
        <f t="shared" si="90"/>
        <v>187.99130270616999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47.507417963981247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47.507417963981247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5.6843418860808015E-14</v>
      </c>
      <c r="BE106" s="14">
        <f>BD106*VLOOKUP('Données projet'!$B$11,Paramètres!$A$1:$I$89,3,0)*VLOOKUP('Données projet'!$B$11,Paramètres!$A$1:$I$89,5,0)</f>
        <v>6.1186256061773749E-14</v>
      </c>
      <c r="BF106" s="14">
        <f t="shared" si="91"/>
        <v>9.7328366192051127E-13</v>
      </c>
      <c r="BG106" s="22">
        <f t="shared" si="61"/>
        <v>1.8017017738191463E-12</v>
      </c>
      <c r="BH106" s="62">
        <f t="shared" si="62"/>
        <v>278.21876892976451</v>
      </c>
      <c r="BI106" s="62">
        <f ca="1">AVERAGE(OFFSET($BH$3,0,0,'Données projet'!$E$11+1,1))-AVERAGE(OFFSET($H$3,0,0,'Données projet'!$E$11+1,1))</f>
        <v>287.77879820226661</v>
      </c>
      <c r="BJ106" s="62">
        <f t="shared" si="92"/>
        <v>202.51334141855753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52.871158701850092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52.871158701850092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435.66722289172486</v>
      </c>
      <c r="T107" s="62">
        <f t="shared" si="88"/>
        <v>297.32483725004136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148.60257664109474</v>
      </c>
      <c r="AA107" s="23">
        <f>EXP(-LN(2)/25)*AA106+(1-EXP(-LN(2)/25))/(LN(2)/25)*Calculateur!V107*Calculateur!X107*VLOOKUP('Données projet'!$B$9,Paramètres!$A$1:$I$89,3,0)*0.475*44/12</f>
        <v>49.105142300141999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197.70771894123675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5.6843418860808015E-14</v>
      </c>
      <c r="AJ107" s="14">
        <f>AI107*VLOOKUP('Données projet'!$B$10,Paramètres!$A$1:$I$89,3,0)*VLOOKUP('Données projet'!$B$10,Paramètres!$A$1:$I$89,5,0)</f>
        <v>5.4978954722173515E-14</v>
      </c>
      <c r="AK107" s="14">
        <f t="shared" si="89"/>
        <v>8.8550225887742724E-13</v>
      </c>
      <c r="AL107" s="22">
        <f t="shared" si="58"/>
        <v>1.6380047803526383E-12</v>
      </c>
      <c r="AM107" s="62">
        <f t="shared" si="59"/>
        <v>278.48097283106256</v>
      </c>
      <c r="AN107" s="62">
        <f ca="1">AVERAGE(OFFSET($AM$3,0,0,'Données projet'!$E$10+1,1))-AVERAGE(OFFSET($H$3,0,0,'Données projet'!$E$10+1,1))</f>
        <v>265.30115826265654</v>
      </c>
      <c r="AO107" s="62">
        <f t="shared" si="90"/>
        <v>187.99130270616999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46.208325121449647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46.208325121449647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5.6843418860808015E-14</v>
      </c>
      <c r="BE107" s="14">
        <f>BD107*VLOOKUP('Données projet'!$B$11,Paramètres!$A$1:$I$89,3,0)*VLOOKUP('Données projet'!$B$11,Paramètres!$A$1:$I$89,5,0)</f>
        <v>6.1186256061773749E-14</v>
      </c>
      <c r="BF107" s="14">
        <f t="shared" si="91"/>
        <v>9.7328366192051127E-13</v>
      </c>
      <c r="BG107" s="22">
        <f t="shared" si="61"/>
        <v>1.8017017738191463E-12</v>
      </c>
      <c r="BH107" s="62">
        <f t="shared" si="62"/>
        <v>278.48097283106273</v>
      </c>
      <c r="BI107" s="62">
        <f ca="1">AVERAGE(OFFSET($BH$3,0,0,'Données projet'!$E$11+1,1))-AVERAGE(OFFSET($H$3,0,0,'Données projet'!$E$11+1,1))</f>
        <v>287.77879820226661</v>
      </c>
      <c r="BJ107" s="62">
        <f t="shared" si="92"/>
        <v>202.51334141855753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51.425394086774602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51.425394086774602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435.66722289172486</v>
      </c>
      <c r="T108" s="62">
        <f t="shared" si="88"/>
        <v>297.32483725004136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145.68857075178479</v>
      </c>
      <c r="AA108" s="23">
        <f>EXP(-LN(2)/25)*AA107+(1-EXP(-LN(2)/25))/(LN(2)/25)*Calculateur!V108*Calculateur!X108*VLOOKUP('Données projet'!$B$9,Paramètres!$A$1:$I$89,3,0)*0.475*44/12</f>
        <v>47.762359601617412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193.45093035340221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5.6843418860808015E-14</v>
      </c>
      <c r="AJ108" s="14">
        <f>AI108*VLOOKUP('Données projet'!$B$10,Paramètres!$A$1:$I$89,3,0)*VLOOKUP('Données projet'!$B$10,Paramètres!$A$1:$I$89,5,0)</f>
        <v>5.4978954722173515E-14</v>
      </c>
      <c r="AK108" s="14">
        <f t="shared" si="89"/>
        <v>8.8550225887742724E-13</v>
      </c>
      <c r="AL108" s="22">
        <f t="shared" si="58"/>
        <v>1.6380047803526383E-12</v>
      </c>
      <c r="AM108" s="62">
        <f t="shared" si="59"/>
        <v>278.73862808087341</v>
      </c>
      <c r="AN108" s="62">
        <f ca="1">AVERAGE(OFFSET($AM$3,0,0,'Données projet'!$E$10+1,1))-AVERAGE(OFFSET($H$3,0,0,'Données projet'!$E$10+1,1))</f>
        <v>265.30115826265654</v>
      </c>
      <c r="AO108" s="62">
        <f t="shared" si="90"/>
        <v>187.99130270616999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44.944756041013399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44.944756041013399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5.6843418860808015E-14</v>
      </c>
      <c r="BE108" s="14">
        <f>BD108*VLOOKUP('Données projet'!$B$11,Paramètres!$A$1:$I$89,3,0)*VLOOKUP('Données projet'!$B$11,Paramètres!$A$1:$I$89,5,0)</f>
        <v>6.1186256061773749E-14</v>
      </c>
      <c r="BF108" s="14">
        <f t="shared" si="91"/>
        <v>9.7328366192051127E-13</v>
      </c>
      <c r="BG108" s="22">
        <f t="shared" si="61"/>
        <v>1.8017017738191463E-12</v>
      </c>
      <c r="BH108" s="62">
        <f t="shared" si="62"/>
        <v>278.73862808087358</v>
      </c>
      <c r="BI108" s="62">
        <f ca="1">AVERAGE(OFFSET($BH$3,0,0,'Données projet'!$E$11+1,1))-AVERAGE(OFFSET($H$3,0,0,'Données projet'!$E$11+1,1))</f>
        <v>287.77879820226661</v>
      </c>
      <c r="BJ108" s="62">
        <f t="shared" si="92"/>
        <v>202.51334141855753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50.019163981127811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50.019163981127811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435.66722289172486</v>
      </c>
      <c r="T109" s="62">
        <f t="shared" si="88"/>
        <v>297.32483725004136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142.83170674059613</v>
      </c>
      <c r="AA109" s="23">
        <f>EXP(-LN(2)/25)*AA108+(1-EXP(-LN(2)/25))/(LN(2)/25)*Calculateur!V109*Calculateur!X109*VLOOKUP('Données projet'!$B$9,Paramètres!$A$1:$I$89,3,0)*0.475*44/12</f>
        <v>46.456295366597857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189.28800210719399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5.6843418860808015E-14</v>
      </c>
      <c r="AJ109" s="14">
        <f>AI109*VLOOKUP('Données projet'!$B$10,Paramètres!$A$1:$I$89,3,0)*VLOOKUP('Données projet'!$B$10,Paramètres!$A$1:$I$89,5,0)</f>
        <v>5.4978954722173515E-14</v>
      </c>
      <c r="AK109" s="14">
        <f t="shared" si="89"/>
        <v>8.8550225887742724E-13</v>
      </c>
      <c r="AL109" s="22">
        <f t="shared" si="58"/>
        <v>1.6380047803526383E-12</v>
      </c>
      <c r="AM109" s="62">
        <f t="shared" si="59"/>
        <v>278.99181358813075</v>
      </c>
      <c r="AN109" s="62">
        <f ca="1">AVERAGE(OFFSET($AM$3,0,0,'Données projet'!$E$10+1,1))-AVERAGE(OFFSET($H$3,0,0,'Données projet'!$E$10+1,1))</f>
        <v>265.30115826265654</v>
      </c>
      <c r="AO109" s="62">
        <f t="shared" si="90"/>
        <v>187.99130270616999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43.715739323529888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43.715739323529888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5.6843418860808015E-14</v>
      </c>
      <c r="BE109" s="14">
        <f>BD109*VLOOKUP('Données projet'!$B$11,Paramètres!$A$1:$I$89,3,0)*VLOOKUP('Données projet'!$B$11,Paramètres!$A$1:$I$89,5,0)</f>
        <v>6.1186256061773749E-14</v>
      </c>
      <c r="BF109" s="14">
        <f t="shared" si="91"/>
        <v>9.7328366192051127E-13</v>
      </c>
      <c r="BG109" s="22">
        <f t="shared" si="61"/>
        <v>1.8017017738191463E-12</v>
      </c>
      <c r="BH109" s="62">
        <f t="shared" si="62"/>
        <v>278.99181358813092</v>
      </c>
      <c r="BI109" s="62">
        <f ca="1">AVERAGE(OFFSET($BH$3,0,0,'Données projet'!$E$11+1,1))-AVERAGE(OFFSET($H$3,0,0,'Données projet'!$E$11+1,1))</f>
        <v>287.77879820226661</v>
      </c>
      <c r="BJ109" s="62">
        <f t="shared" si="92"/>
        <v>202.51334141855753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48.651387311670355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48.651387311670355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435.66722289172486</v>
      </c>
      <c r="T110" s="62">
        <f t="shared" si="88"/>
        <v>297.32483725004136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140.03086409015188</v>
      </c>
      <c r="AA110" s="23">
        <f>EXP(-LN(2)/25)*AA109+(1-EXP(-LN(2)/25))/(LN(2)/25)*Calculateur!V110*Calculateur!X110*VLOOKUP('Données projet'!$B$9,Paramètres!$A$1:$I$89,3,0)*0.475*44/12</f>
        <v>45.185945526767846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185.21680961691973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5.6843418860808015E-14</v>
      </c>
      <c r="AJ110" s="14">
        <f>AI110*VLOOKUP('Données projet'!$B$10,Paramètres!$A$1:$I$89,3,0)*VLOOKUP('Données projet'!$B$10,Paramètres!$A$1:$I$89,5,0)</f>
        <v>5.4978954722173515E-14</v>
      </c>
      <c r="AK110" s="14">
        <f t="shared" si="89"/>
        <v>8.8550225887742724E-13</v>
      </c>
      <c r="AL110" s="22">
        <f t="shared" si="58"/>
        <v>1.6380047803526383E-12</v>
      </c>
      <c r="AM110" s="62">
        <f t="shared" si="59"/>
        <v>279.24060689287529</v>
      </c>
      <c r="AN110" s="62">
        <f ca="1">AVERAGE(OFFSET($AM$3,0,0,'Données projet'!$E$10+1,1))-AVERAGE(OFFSET($H$3,0,0,'Données projet'!$E$10+1,1))</f>
        <v>265.30115826265654</v>
      </c>
      <c r="AO110" s="62">
        <f t="shared" si="90"/>
        <v>187.99130270616999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42.520330132817143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42.520330132817143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5.6843418860808015E-14</v>
      </c>
      <c r="BE110" s="14">
        <f>BD110*VLOOKUP('Données projet'!$B$11,Paramètres!$A$1:$I$89,3,0)*VLOOKUP('Données projet'!$B$11,Paramètres!$A$1:$I$89,5,0)</f>
        <v>6.1186256061773749E-14</v>
      </c>
      <c r="BF110" s="14">
        <f t="shared" si="91"/>
        <v>9.7328366192051127E-13</v>
      </c>
      <c r="BG110" s="22">
        <f t="shared" si="61"/>
        <v>1.8017017738191463E-12</v>
      </c>
      <c r="BH110" s="62">
        <f t="shared" si="62"/>
        <v>279.24060689287546</v>
      </c>
      <c r="BI110" s="62">
        <f ca="1">AVERAGE(OFFSET($BH$3,0,0,'Données projet'!$E$11+1,1))-AVERAGE(OFFSET($H$3,0,0,'Données projet'!$E$11+1,1))</f>
        <v>287.77879820226661</v>
      </c>
      <c r="BJ110" s="62">
        <f t="shared" si="92"/>
        <v>202.51334141855753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47.321012567167465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47.321012567167465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435.66722289172486</v>
      </c>
      <c r="T111" s="62">
        <f t="shared" si="88"/>
        <v>297.32483725004136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137.28494425573751</v>
      </c>
      <c r="AA111" s="23">
        <f>EXP(-LN(2)/25)*AA110+(1-EXP(-LN(2)/25))/(LN(2)/25)*Calculateur!V111*Calculateur!X111*VLOOKUP('Données projet'!$B$9,Paramètres!$A$1:$I$89,3,0)*0.475*44/12</f>
        <v>43.950333470112774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181.2352777258503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5.6843418860808015E-14</v>
      </c>
      <c r="AJ111" s="14">
        <f>AI111*VLOOKUP('Données projet'!$B$10,Paramètres!$A$1:$I$89,3,0)*VLOOKUP('Données projet'!$B$10,Paramètres!$A$1:$I$89,5,0)</f>
        <v>5.4978954722173515E-14</v>
      </c>
      <c r="AK111" s="14">
        <f t="shared" si="89"/>
        <v>8.8550225887742724E-13</v>
      </c>
      <c r="AL111" s="22">
        <f t="shared" si="58"/>
        <v>1.6380047803526383E-12</v>
      </c>
      <c r="AM111" s="62">
        <f t="shared" si="59"/>
        <v>279.48508419000098</v>
      </c>
      <c r="AN111" s="62">
        <f ca="1">AVERAGE(OFFSET($AM$3,0,0,'Données projet'!$E$10+1,1))-AVERAGE(OFFSET($H$3,0,0,'Données projet'!$E$10+1,1))</f>
        <v>265.30115826265654</v>
      </c>
      <c r="AO111" s="62">
        <f t="shared" si="90"/>
        <v>187.99130270616999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41.357609469288278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41.357609469288278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5.6843418860808015E-14</v>
      </c>
      <c r="BE111" s="14">
        <f>BD111*VLOOKUP('Données projet'!$B$11,Paramètres!$A$1:$I$89,3,0)*VLOOKUP('Données projet'!$B$11,Paramètres!$A$1:$I$89,5,0)</f>
        <v>6.1186256061773749E-14</v>
      </c>
      <c r="BF111" s="14">
        <f t="shared" si="91"/>
        <v>9.7328366192051127E-13</v>
      </c>
      <c r="BG111" s="22">
        <f t="shared" si="61"/>
        <v>1.8017017738191463E-12</v>
      </c>
      <c r="BH111" s="62">
        <f t="shared" si="62"/>
        <v>279.48508419000115</v>
      </c>
      <c r="BI111" s="62">
        <f ca="1">AVERAGE(OFFSET($BH$3,0,0,'Données projet'!$E$11+1,1))-AVERAGE(OFFSET($H$3,0,0,'Données projet'!$E$11+1,1))</f>
        <v>287.77879820226661</v>
      </c>
      <c r="BJ111" s="62">
        <f t="shared" si="92"/>
        <v>202.51334141855753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46.027016990014374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46.027016990014374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435.66722289172486</v>
      </c>
      <c r="T112" s="62">
        <f t="shared" si="88"/>
        <v>297.32483725004136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134.59287023443031</v>
      </c>
      <c r="AA112" s="23">
        <f>EXP(-LN(2)/25)*AA111+(1-EXP(-LN(2)/25))/(LN(2)/25)*Calculateur!V112*Calculateur!X112*VLOOKUP('Données projet'!$B$9,Paramètres!$A$1:$I$89,3,0)*0.475*44/12</f>
        <v>42.74850929012495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177.34137952455526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5.6843418860808015E-14</v>
      </c>
      <c r="AJ112" s="14">
        <f>AI112*VLOOKUP('Données projet'!$B$10,Paramètres!$A$1:$I$89,3,0)*VLOOKUP('Données projet'!$B$10,Paramètres!$A$1:$I$89,5,0)</f>
        <v>5.4978954722173515E-14</v>
      </c>
      <c r="AK112" s="14">
        <f t="shared" si="89"/>
        <v>8.8550225887742724E-13</v>
      </c>
      <c r="AL112" s="22">
        <f t="shared" si="58"/>
        <v>1.6380047803526383E-12</v>
      </c>
      <c r="AM112" s="62">
        <f t="shared" si="59"/>
        <v>279.72532035259093</v>
      </c>
      <c r="AN112" s="62">
        <f ca="1">AVERAGE(OFFSET($AM$3,0,0,'Données projet'!$E$10+1,1))-AVERAGE(OFFSET($H$3,0,0,'Données projet'!$E$10+1,1))</f>
        <v>265.30115826265654</v>
      </c>
      <c r="AO112" s="62">
        <f t="shared" si="90"/>
        <v>187.99130270616999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40.226683463448431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40.226683463448431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5.6843418860808015E-14</v>
      </c>
      <c r="BE112" s="14">
        <f>BD112*VLOOKUP('Données projet'!$B$11,Paramètres!$A$1:$I$89,3,0)*VLOOKUP('Données projet'!$B$11,Paramètres!$A$1:$I$89,5,0)</f>
        <v>6.1186256061773749E-14</v>
      </c>
      <c r="BF112" s="14">
        <f t="shared" si="91"/>
        <v>9.7328366192051127E-13</v>
      </c>
      <c r="BG112" s="22">
        <f t="shared" si="61"/>
        <v>1.8017017738191463E-12</v>
      </c>
      <c r="BH112" s="62">
        <f t="shared" si="62"/>
        <v>279.7253203525911</v>
      </c>
      <c r="BI112" s="62">
        <f ca="1">AVERAGE(OFFSET($BH$3,0,0,'Données projet'!$E$11+1,1))-AVERAGE(OFFSET($H$3,0,0,'Données projet'!$E$11+1,1))</f>
        <v>287.77879820226661</v>
      </c>
      <c r="BJ112" s="62">
        <f t="shared" si="92"/>
        <v>202.51334141855753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44.768405789966806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44.768405789966806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435.66722289172486</v>
      </c>
      <c r="T113" s="62">
        <f t="shared" si="88"/>
        <v>297.32483725004136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131.95358614267792</v>
      </c>
      <c r="AA113" s="23">
        <f>EXP(-LN(2)/25)*AA112+(1-EXP(-LN(2)/25))/(LN(2)/25)*Calculateur!V113*Calculateur!X113*VLOOKUP('Données projet'!$B$9,Paramètres!$A$1:$I$89,3,0)*0.475*44/12</f>
        <v>41.579549055540085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173.53313519821802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5.6843418860808015E-14</v>
      </c>
      <c r="AJ113" s="14">
        <f>AI113*VLOOKUP('Données projet'!$B$10,Paramètres!$A$1:$I$89,3,0)*VLOOKUP('Données projet'!$B$10,Paramètres!$A$1:$I$89,5,0)</f>
        <v>5.4978954722173515E-14</v>
      </c>
      <c r="AK113" s="14">
        <f t="shared" si="89"/>
        <v>8.8550225887742724E-13</v>
      </c>
      <c r="AL113" s="22">
        <f t="shared" si="58"/>
        <v>1.6380047803526383E-12</v>
      </c>
      <c r="AM113" s="62">
        <f t="shared" si="59"/>
        <v>279.96138895484751</v>
      </c>
      <c r="AN113" s="62">
        <f ca="1">AVERAGE(OFFSET($AM$3,0,0,'Données projet'!$E$10+1,1))-AVERAGE(OFFSET($H$3,0,0,'Données projet'!$E$10+1,1))</f>
        <v>265.30115826265654</v>
      </c>
      <c r="AO113" s="62">
        <f t="shared" si="90"/>
        <v>187.99130270616999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39.126682688711092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39.126682688711092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5.6843418860808015E-14</v>
      </c>
      <c r="BE113" s="14">
        <f>BD113*VLOOKUP('Données projet'!$B$11,Paramètres!$A$1:$I$89,3,0)*VLOOKUP('Données projet'!$B$11,Paramètres!$A$1:$I$89,5,0)</f>
        <v>6.1186256061773749E-14</v>
      </c>
      <c r="BF113" s="14">
        <f t="shared" si="91"/>
        <v>9.7328366192051127E-13</v>
      </c>
      <c r="BG113" s="22">
        <f t="shared" si="61"/>
        <v>1.8017017738191463E-12</v>
      </c>
      <c r="BH113" s="62">
        <f t="shared" si="62"/>
        <v>279.96138895484768</v>
      </c>
      <c r="BI113" s="62">
        <f ca="1">AVERAGE(OFFSET($BH$3,0,0,'Données projet'!$E$11+1,1))-AVERAGE(OFFSET($H$3,0,0,'Données projet'!$E$11+1,1))</f>
        <v>287.77879820226661</v>
      </c>
      <c r="BJ113" s="62">
        <f t="shared" si="92"/>
        <v>202.51334141855753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43.544211379372022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43.544211379372022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435.66722289172486</v>
      </c>
      <c r="T114" s="62">
        <f t="shared" si="88"/>
        <v>297.32483725004136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129.36605680216044</v>
      </c>
      <c r="AA114" s="23">
        <f>EXP(-LN(2)/25)*AA113+(1-EXP(-LN(2)/25))/(LN(2)/25)*Calculateur!V114*Calculateur!X114*VLOOKUP('Données projet'!$B$9,Paramètres!$A$1:$I$89,3,0)*0.475*44/12</f>
        <v>40.442554100042891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169.80861090220333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5.6843418860808015E-14</v>
      </c>
      <c r="AJ114" s="14">
        <f>AI114*VLOOKUP('Données projet'!$B$10,Paramètres!$A$1:$I$89,3,0)*VLOOKUP('Données projet'!$B$10,Paramètres!$A$1:$I$89,5,0)</f>
        <v>5.4978954722173515E-14</v>
      </c>
      <c r="AK114" s="14">
        <f t="shared" si="89"/>
        <v>8.8550225887742724E-13</v>
      </c>
      <c r="AL114" s="22">
        <f t="shared" si="58"/>
        <v>1.6380047803526383E-12</v>
      </c>
      <c r="AM114" s="62">
        <f t="shared" si="59"/>
        <v>280.19336229462522</v>
      </c>
      <c r="AN114" s="62">
        <f ca="1">AVERAGE(OFFSET($AM$3,0,0,'Données projet'!$E$10+1,1))-AVERAGE(OFFSET($H$3,0,0,'Données projet'!$E$10+1,1))</f>
        <v>265.30115826265654</v>
      </c>
      <c r="AO114" s="62">
        <f t="shared" si="90"/>
        <v>187.99130270616999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38.056761493005467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38.056761493005467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5.6843418860808015E-14</v>
      </c>
      <c r="BE114" s="14">
        <f>BD114*VLOOKUP('Données projet'!$B$11,Paramètres!$A$1:$I$89,3,0)*VLOOKUP('Données projet'!$B$11,Paramètres!$A$1:$I$89,5,0)</f>
        <v>6.1186256061773749E-14</v>
      </c>
      <c r="BF114" s="14">
        <f t="shared" si="91"/>
        <v>9.7328366192051127E-13</v>
      </c>
      <c r="BG114" s="22">
        <f t="shared" si="61"/>
        <v>1.8017017738191463E-12</v>
      </c>
      <c r="BH114" s="62">
        <f t="shared" si="62"/>
        <v>280.19336229462539</v>
      </c>
      <c r="BI114" s="62">
        <f ca="1">AVERAGE(OFFSET($BH$3,0,0,'Données projet'!$E$11+1,1))-AVERAGE(OFFSET($H$3,0,0,'Données projet'!$E$11+1,1))</f>
        <v>287.77879820226661</v>
      </c>
      <c r="BJ114" s="62">
        <f t="shared" si="92"/>
        <v>202.51334141855753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42.353492629312541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42.353492629312541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435.66722289172486</v>
      </c>
      <c r="T115" s="62">
        <f t="shared" si="88"/>
        <v>297.32483725004136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126.82926733377346</v>
      </c>
      <c r="AA115" s="23">
        <f>EXP(-LN(2)/25)*AA114+(1-EXP(-LN(2)/25))/(LN(2)/25)*Calculateur!V115*Calculateur!X115*VLOOKUP('Données projet'!$B$9,Paramètres!$A$1:$I$89,3,0)*0.475*44/12</f>
        <v>39.336650331395731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166.16591766516919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5.6843418860808015E-14</v>
      </c>
      <c r="AJ115" s="14">
        <f>AI115*VLOOKUP('Données projet'!$B$10,Paramètres!$A$1:$I$89,3,0)*VLOOKUP('Données projet'!$B$10,Paramètres!$A$1:$I$89,5,0)</f>
        <v>5.4978954722173515E-14</v>
      </c>
      <c r="AK115" s="14">
        <f t="shared" si="89"/>
        <v>8.8550225887742724E-13</v>
      </c>
      <c r="AL115" s="22">
        <f t="shared" si="58"/>
        <v>1.6380047803526383E-12</v>
      </c>
      <c r="AM115" s="62">
        <f t="shared" si="59"/>
        <v>280.42131141557252</v>
      </c>
      <c r="AN115" s="62">
        <f ca="1">AVERAGE(OFFSET($AM$3,0,0,'Données projet'!$E$10+1,1))-AVERAGE(OFFSET($H$3,0,0,'Données projet'!$E$10+1,1))</f>
        <v>265.30115826265654</v>
      </c>
      <c r="AO115" s="62">
        <f t="shared" si="90"/>
        <v>187.99130270616999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37.016097348661127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37.016097348661127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5.6843418860808015E-14</v>
      </c>
      <c r="BE115" s="14">
        <f>BD115*VLOOKUP('Données projet'!$B$11,Paramètres!$A$1:$I$89,3,0)*VLOOKUP('Données projet'!$B$11,Paramètres!$A$1:$I$89,5,0)</f>
        <v>6.1186256061773749E-14</v>
      </c>
      <c r="BF115" s="14">
        <f t="shared" si="91"/>
        <v>9.7328366192051127E-13</v>
      </c>
      <c r="BG115" s="22">
        <f t="shared" si="61"/>
        <v>1.8017017738191463E-12</v>
      </c>
      <c r="BH115" s="62">
        <f t="shared" si="62"/>
        <v>280.42131141557269</v>
      </c>
      <c r="BI115" s="62">
        <f ca="1">AVERAGE(OFFSET($BH$3,0,0,'Données projet'!$E$11+1,1))-AVERAGE(OFFSET($H$3,0,0,'Données projet'!$E$11+1,1))</f>
        <v>287.77879820226661</v>
      </c>
      <c r="BJ115" s="62">
        <f t="shared" si="92"/>
        <v>202.51334141855753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41.195334146090609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41.195334146090609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435.66722289172486</v>
      </c>
      <c r="T116" s="62">
        <f t="shared" si="88"/>
        <v>297.32483725004136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124.34222275957275</v>
      </c>
      <c r="AA116" s="23">
        <f>EXP(-LN(2)/25)*AA115+(1-EXP(-LN(2)/25))/(LN(2)/25)*Calculateur!V116*Calculateur!X116*VLOOKUP('Données projet'!$B$9,Paramètres!$A$1:$I$89,3,0)*0.475*44/12</f>
        <v>38.260987559459181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162.60321031903192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5.6843418860808015E-14</v>
      </c>
      <c r="AJ116" s="14">
        <f>AI116*VLOOKUP('Données projet'!$B$10,Paramètres!$A$1:$I$89,3,0)*VLOOKUP('Données projet'!$B$10,Paramètres!$A$1:$I$89,5,0)</f>
        <v>5.4978954722173515E-14</v>
      </c>
      <c r="AK116" s="14">
        <f t="shared" si="89"/>
        <v>8.8550225887742724E-13</v>
      </c>
      <c r="AL116" s="22">
        <f t="shared" si="58"/>
        <v>1.6380047803526383E-12</v>
      </c>
      <c r="AM116" s="62">
        <f t="shared" si="59"/>
        <v>280.64530612888927</v>
      </c>
      <c r="AN116" s="62">
        <f ca="1">AVERAGE(OFFSET($AM$3,0,0,'Données projet'!$E$10+1,1))-AVERAGE(OFFSET($H$3,0,0,'Données projet'!$E$10+1,1))</f>
        <v>265.30115826265654</v>
      </c>
      <c r="AO116" s="62">
        <f t="shared" si="90"/>
        <v>187.99130270616999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36.003890220070033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36.003890220070033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5.6843418860808015E-14</v>
      </c>
      <c r="BE116" s="14">
        <f>BD116*VLOOKUP('Données projet'!$B$11,Paramètres!$A$1:$I$89,3,0)*VLOOKUP('Données projet'!$B$11,Paramètres!$A$1:$I$89,5,0)</f>
        <v>6.1186256061773749E-14</v>
      </c>
      <c r="BF116" s="14">
        <f t="shared" si="91"/>
        <v>9.7328366192051127E-13</v>
      </c>
      <c r="BG116" s="22">
        <f t="shared" si="61"/>
        <v>1.8017017738191463E-12</v>
      </c>
      <c r="BH116" s="62">
        <f t="shared" si="62"/>
        <v>280.64530612888944</v>
      </c>
      <c r="BI116" s="62">
        <f ca="1">AVERAGE(OFFSET($BH$3,0,0,'Données projet'!$E$11+1,1))-AVERAGE(OFFSET($H$3,0,0,'Données projet'!$E$11+1,1))</f>
        <v>287.77879820226661</v>
      </c>
      <c r="BJ116" s="62">
        <f t="shared" si="92"/>
        <v>202.51334141855753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40.068845567497291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40.068845567497291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435.66722289172486</v>
      </c>
      <c r="T117" s="62">
        <f t="shared" si="88"/>
        <v>297.32483725004136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121.9039476125247</v>
      </c>
      <c r="AA117" s="23">
        <f>EXP(-LN(2)/25)*AA116+(1-EXP(-LN(2)/25))/(LN(2)/25)*Calculateur!V117*Calculateur!X117*VLOOKUP('Données projet'!$B$9,Paramètres!$A$1:$I$89,3,0)*0.475*44/12</f>
        <v>37.214738842587877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159.1186864551126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5.6843418860808015E-14</v>
      </c>
      <c r="AJ117" s="14">
        <f>AI117*VLOOKUP('Données projet'!$B$10,Paramètres!$A$1:$I$89,3,0)*VLOOKUP('Données projet'!$B$10,Paramètres!$A$1:$I$89,5,0)</f>
        <v>5.4978954722173515E-14</v>
      </c>
      <c r="AK117" s="14">
        <f t="shared" si="89"/>
        <v>8.8550225887742724E-13</v>
      </c>
      <c r="AL117" s="22">
        <f t="shared" si="58"/>
        <v>1.6380047803526383E-12</v>
      </c>
      <c r="AM117" s="62">
        <f t="shared" si="59"/>
        <v>280.8654150347071</v>
      </c>
      <c r="AN117" s="62">
        <f ca="1">AVERAGE(OFFSET($AM$3,0,0,'Données projet'!$E$10+1,1))-AVERAGE(OFFSET($H$3,0,0,'Données projet'!$E$10+1,1))</f>
        <v>265.30115826265654</v>
      </c>
      <c r="AO117" s="62">
        <f t="shared" si="90"/>
        <v>187.99130270616999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35.019361948639919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35.019361948639919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5.6843418860808015E-14</v>
      </c>
      <c r="BE117" s="14">
        <f>BD117*VLOOKUP('Données projet'!$B$11,Paramètres!$A$1:$I$89,3,0)*VLOOKUP('Données projet'!$B$11,Paramètres!$A$1:$I$89,5,0)</f>
        <v>6.1186256061773749E-14</v>
      </c>
      <c r="BF117" s="14">
        <f t="shared" si="91"/>
        <v>9.7328366192051127E-13</v>
      </c>
      <c r="BG117" s="22">
        <f t="shared" si="61"/>
        <v>1.8017017738191463E-12</v>
      </c>
      <c r="BH117" s="62">
        <f t="shared" si="62"/>
        <v>280.86541503470727</v>
      </c>
      <c r="BI117" s="62">
        <f ca="1">AVERAGE(OFFSET($BH$3,0,0,'Données projet'!$E$11+1,1))-AVERAGE(OFFSET($H$3,0,0,'Données projet'!$E$11+1,1))</f>
        <v>287.77879820226661</v>
      </c>
      <c r="BJ117" s="62">
        <f t="shared" si="92"/>
        <v>202.51334141855753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38.973160878325068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38.973160878325068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435.66722289172486</v>
      </c>
      <c r="T118" s="62">
        <f t="shared" si="88"/>
        <v>297.32483725004136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119.51348555390928</v>
      </c>
      <c r="AA118" s="23">
        <f>EXP(-LN(2)/25)*AA117+(1-EXP(-LN(2)/25))/(LN(2)/25)*Calculateur!V118*Calculateur!X118*VLOOKUP('Données projet'!$B$9,Paramètres!$A$1:$I$89,3,0)*0.475*44/12</f>
        <v>36.197099851899253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155.71058540580853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5.6843418860808015E-14</v>
      </c>
      <c r="AJ118" s="14">
        <f>AI118*VLOOKUP('Données projet'!$B$10,Paramètres!$A$1:$I$89,3,0)*VLOOKUP('Données projet'!$B$10,Paramètres!$A$1:$I$89,5,0)</f>
        <v>5.4978954722173515E-14</v>
      </c>
      <c r="AK118" s="14">
        <f t="shared" si="89"/>
        <v>8.8550225887742724E-13</v>
      </c>
      <c r="AL118" s="22">
        <f t="shared" si="58"/>
        <v>1.6380047803526383E-12</v>
      </c>
      <c r="AM118" s="62">
        <f t="shared" si="59"/>
        <v>281.08170554309891</v>
      </c>
      <c r="AN118" s="62">
        <f ca="1">AVERAGE(OFFSET($AM$3,0,0,'Données projet'!$E$10+1,1))-AVERAGE(OFFSET($H$3,0,0,'Données projet'!$E$10+1,1))</f>
        <v>265.30115826265654</v>
      </c>
      <c r="AO118" s="62">
        <f t="shared" si="90"/>
        <v>187.99130270616999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34.061755654566156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34.061755654566156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5.6843418860808015E-14</v>
      </c>
      <c r="BE118" s="14">
        <f>BD118*VLOOKUP('Données projet'!$B$11,Paramètres!$A$1:$I$89,3,0)*VLOOKUP('Données projet'!$B$11,Paramètres!$A$1:$I$89,5,0)</f>
        <v>6.1186256061773749E-14</v>
      </c>
      <c r="BF118" s="14">
        <f t="shared" si="91"/>
        <v>9.7328366192051127E-13</v>
      </c>
      <c r="BG118" s="22">
        <f t="shared" si="61"/>
        <v>1.8017017738191463E-12</v>
      </c>
      <c r="BH118" s="62">
        <f t="shared" si="62"/>
        <v>281.08170554309908</v>
      </c>
      <c r="BI118" s="62">
        <f ca="1">AVERAGE(OFFSET($BH$3,0,0,'Données projet'!$E$11+1,1))-AVERAGE(OFFSET($H$3,0,0,'Données projet'!$E$11+1,1))</f>
        <v>287.77879820226661</v>
      </c>
      <c r="BJ118" s="62">
        <f t="shared" si="92"/>
        <v>202.51334141855753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37.907437744597814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37.907437744597814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435.66722289172486</v>
      </c>
      <c r="T119" s="62">
        <f t="shared" si="88"/>
        <v>297.32483725004136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117.16989899822542</v>
      </c>
      <c r="AA119" s="23">
        <f>EXP(-LN(2)/25)*AA118+(1-EXP(-LN(2)/25))/(LN(2)/25)*Calculateur!V119*Calculateur!X119*VLOOKUP('Données projet'!$B$9,Paramètres!$A$1:$I$89,3,0)*0.475*44/12</f>
        <v>35.207288252926318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152.37718725115172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5.6843418860808015E-14</v>
      </c>
      <c r="AJ119" s="14">
        <f>AI119*VLOOKUP('Données projet'!$B$10,Paramètres!$A$1:$I$89,3,0)*VLOOKUP('Données projet'!$B$10,Paramètres!$A$1:$I$89,5,0)</f>
        <v>5.4978954722173515E-14</v>
      </c>
      <c r="AK119" s="14">
        <f t="shared" si="89"/>
        <v>8.8550225887742724E-13</v>
      </c>
      <c r="AL119" s="22">
        <f t="shared" si="58"/>
        <v>1.6380047803526383E-12</v>
      </c>
      <c r="AM119" s="62">
        <f t="shared" si="59"/>
        <v>281.29424389472314</v>
      </c>
      <c r="AN119" s="62">
        <f ca="1">AVERAGE(OFFSET($AM$3,0,0,'Données projet'!$E$10+1,1))-AVERAGE(OFFSET($H$3,0,0,'Données projet'!$E$10+1,1))</f>
        <v>265.30115826265654</v>
      </c>
      <c r="AO119" s="62">
        <f t="shared" si="90"/>
        <v>187.99130270616999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33.130335154962161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33.130335154962161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5.6843418860808015E-14</v>
      </c>
      <c r="BE119" s="14">
        <f>BD119*VLOOKUP('Données projet'!$B$11,Paramètres!$A$1:$I$89,3,0)*VLOOKUP('Données projet'!$B$11,Paramètres!$A$1:$I$89,5,0)</f>
        <v>6.1186256061773749E-14</v>
      </c>
      <c r="BF119" s="14">
        <f t="shared" si="91"/>
        <v>9.7328366192051127E-13</v>
      </c>
      <c r="BG119" s="22">
        <f t="shared" si="61"/>
        <v>1.8017017738191463E-12</v>
      </c>
      <c r="BH119" s="62">
        <f t="shared" si="62"/>
        <v>281.29424389472331</v>
      </c>
      <c r="BI119" s="62">
        <f ca="1">AVERAGE(OFFSET($BH$3,0,0,'Données projet'!$E$11+1,1))-AVERAGE(OFFSET($H$3,0,0,'Données projet'!$E$11+1,1))</f>
        <v>287.77879820226661</v>
      </c>
      <c r="BJ119" s="62">
        <f t="shared" si="92"/>
        <v>202.51334141855753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36.870856866006278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36.870856866006278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435.66722289172486</v>
      </c>
      <c r="T120" s="62">
        <f t="shared" si="88"/>
        <v>297.32483725004136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114.87226874545188</v>
      </c>
      <c r="AA120" s="23">
        <f>EXP(-LN(2)/25)*AA119+(1-EXP(-LN(2)/25))/(LN(2)/25)*Calculateur!V120*Calculateur!X120*VLOOKUP('Données projet'!$B$9,Paramètres!$A$1:$I$89,3,0)*0.475*44/12</f>
        <v>34.244543104179229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149.11681184963112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5.6843418860808015E-14</v>
      </c>
      <c r="AJ120" s="14">
        <f>AI120*VLOOKUP('Données projet'!$B$10,Paramètres!$A$1:$I$89,3,0)*VLOOKUP('Données projet'!$B$10,Paramètres!$A$1:$I$89,5,0)</f>
        <v>5.4978954722173515E-14</v>
      </c>
      <c r="AK120" s="14">
        <f t="shared" si="89"/>
        <v>8.8550225887742724E-13</v>
      </c>
      <c r="AL120" s="22">
        <f t="shared" si="58"/>
        <v>1.6380047803526383E-12</v>
      </c>
      <c r="AM120" s="62">
        <f t="shared" si="59"/>
        <v>281.50309518111129</v>
      </c>
      <c r="AN120" s="62">
        <f ca="1">AVERAGE(OFFSET($AM$3,0,0,'Données projet'!$E$10+1,1))-AVERAGE(OFFSET($H$3,0,0,'Données projet'!$E$10+1,1))</f>
        <v>265.30115826265654</v>
      </c>
      <c r="AO120" s="62">
        <f t="shared" si="90"/>
        <v>187.99130270616999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32.224384397901112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32.224384397901112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5.6843418860808015E-14</v>
      </c>
      <c r="BE120" s="14">
        <f>BD120*VLOOKUP('Données projet'!$B$11,Paramètres!$A$1:$I$89,3,0)*VLOOKUP('Données projet'!$B$11,Paramètres!$A$1:$I$89,5,0)</f>
        <v>6.1186256061773749E-14</v>
      </c>
      <c r="BF120" s="14">
        <f t="shared" si="91"/>
        <v>9.7328366192051127E-13</v>
      </c>
      <c r="BG120" s="22">
        <f t="shared" si="61"/>
        <v>1.8017017738191463E-12</v>
      </c>
      <c r="BH120" s="62">
        <f t="shared" si="62"/>
        <v>281.50309518111146</v>
      </c>
      <c r="BI120" s="62">
        <f ca="1">AVERAGE(OFFSET($BH$3,0,0,'Données projet'!$E$11+1,1))-AVERAGE(OFFSET($H$3,0,0,'Données projet'!$E$11+1,1))</f>
        <v>287.77879820226661</v>
      </c>
      <c r="BJ120" s="62">
        <f t="shared" si="92"/>
        <v>202.51334141855753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35.862621346051242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35.862621346051242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435.66722289172486</v>
      </c>
      <c r="T121" s="62">
        <f t="shared" si="88"/>
        <v>297.32483725004136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112.61969362051914</v>
      </c>
      <c r="AA121" s="23">
        <f>EXP(-LN(2)/25)*AA120+(1-EXP(-LN(2)/25))/(LN(2)/25)*Calculateur!V121*Calculateur!X121*VLOOKUP('Données projet'!$B$9,Paramètres!$A$1:$I$89,3,0)*0.475*44/12</f>
        <v>33.308124272153194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145.92781789267235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5.6843418860808015E-14</v>
      </c>
      <c r="AJ121" s="14">
        <f>AI121*VLOOKUP('Données projet'!$B$10,Paramètres!$A$1:$I$89,3,0)*VLOOKUP('Données projet'!$B$10,Paramètres!$A$1:$I$89,5,0)</f>
        <v>5.4978954722173515E-14</v>
      </c>
      <c r="AK121" s="14">
        <f t="shared" si="89"/>
        <v>8.8550225887742724E-13</v>
      </c>
      <c r="AL121" s="22">
        <f t="shared" si="58"/>
        <v>1.6380047803526383E-12</v>
      </c>
      <c r="AM121" s="62">
        <f t="shared" si="59"/>
        <v>281.70832336460205</v>
      </c>
      <c r="AN121" s="62">
        <f ca="1">AVERAGE(OFFSET($AM$3,0,0,'Données projet'!$E$10+1,1))-AVERAGE(OFFSET($H$3,0,0,'Données projet'!$E$10+1,1))</f>
        <v>265.30115826265654</v>
      </c>
      <c r="AO121" s="62">
        <f t="shared" si="90"/>
        <v>187.99130270616999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31.34320691193378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31.34320691193378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5.6843418860808015E-14</v>
      </c>
      <c r="BE121" s="14">
        <f>BD121*VLOOKUP('Données projet'!$B$11,Paramètres!$A$1:$I$89,3,0)*VLOOKUP('Données projet'!$B$11,Paramètres!$A$1:$I$89,5,0)</f>
        <v>6.1186256061773749E-14</v>
      </c>
      <c r="BF121" s="14">
        <f t="shared" si="91"/>
        <v>9.7328366192051127E-13</v>
      </c>
      <c r="BG121" s="22">
        <f t="shared" si="61"/>
        <v>1.8017017738191463E-12</v>
      </c>
      <c r="BH121" s="62">
        <f t="shared" si="62"/>
        <v>281.70832336460222</v>
      </c>
      <c r="BI121" s="62">
        <f ca="1">AVERAGE(OFFSET($BH$3,0,0,'Données projet'!$E$11+1,1))-AVERAGE(OFFSET($H$3,0,0,'Données projet'!$E$11+1,1))</f>
        <v>287.77879820226661</v>
      </c>
      <c r="BJ121" s="62">
        <f t="shared" si="92"/>
        <v>202.51334141855753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34.88195607941018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34.88195607941018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435.66722289172486</v>
      </c>
      <c r="T122" s="62">
        <f t="shared" si="88"/>
        <v>297.32483725004136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110.41129011985117</v>
      </c>
      <c r="AA122" s="23">
        <f>EXP(-LN(2)/25)*AA121+(1-EXP(-LN(2)/25))/(LN(2)/25)*Calculateur!V122*Calculateur!X122*VLOOKUP('Données projet'!$B$9,Paramètres!$A$1:$I$89,3,0)*0.475*44/12</f>
        <v>32.397311862333034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142.8086019821842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5.6843418860808015E-14</v>
      </c>
      <c r="AJ122" s="14">
        <f>AI122*VLOOKUP('Données projet'!$B$10,Paramètres!$A$1:$I$89,3,0)*VLOOKUP('Données projet'!$B$10,Paramètres!$A$1:$I$89,5,0)</f>
        <v>5.4978954722173515E-14</v>
      </c>
      <c r="AK122" s="14">
        <f t="shared" si="89"/>
        <v>8.8550225887742724E-13</v>
      </c>
      <c r="AL122" s="22">
        <f t="shared" si="58"/>
        <v>1.6380047803526383E-12</v>
      </c>
      <c r="AM122" s="62">
        <f t="shared" si="59"/>
        <v>281.90999129793079</v>
      </c>
      <c r="AN122" s="62">
        <f ca="1">AVERAGE(OFFSET($AM$3,0,0,'Données projet'!$E$10+1,1))-AVERAGE(OFFSET($H$3,0,0,'Données projet'!$E$10+1,1))</f>
        <v>265.30115826265654</v>
      </c>
      <c r="AO122" s="62">
        <f t="shared" si="90"/>
        <v>187.99130270616999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30.486125270659336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30.486125270659336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5.6843418860808015E-14</v>
      </c>
      <c r="BE122" s="14">
        <f>BD122*VLOOKUP('Données projet'!$B$11,Paramètres!$A$1:$I$89,3,0)*VLOOKUP('Données projet'!$B$11,Paramètres!$A$1:$I$89,5,0)</f>
        <v>6.1186256061773749E-14</v>
      </c>
      <c r="BF122" s="14">
        <f t="shared" si="91"/>
        <v>9.7328366192051127E-13</v>
      </c>
      <c r="BG122" s="22">
        <f t="shared" si="61"/>
        <v>1.8017017738191463E-12</v>
      </c>
      <c r="BH122" s="62">
        <f t="shared" si="62"/>
        <v>281.90999129793096</v>
      </c>
      <c r="BI122" s="62">
        <f ca="1">AVERAGE(OFFSET($BH$3,0,0,'Données projet'!$E$11+1,1))-AVERAGE(OFFSET($H$3,0,0,'Données projet'!$E$11+1,1))</f>
        <v>287.77879820226661</v>
      </c>
      <c r="BJ122" s="62">
        <f t="shared" si="92"/>
        <v>202.51334141855753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33.928107156056363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33.928107156056363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435.66722289172486</v>
      </c>
      <c r="T123" s="62">
        <f t="shared" si="88"/>
        <v>297.32483725004136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108.24619206483817</v>
      </c>
      <c r="AA123" s="23">
        <f>EXP(-LN(2)/25)*AA122+(1-EXP(-LN(2)/25))/(LN(2)/25)*Calculateur!V123*Calculateur!X123*VLOOKUP('Données projet'!$B$9,Paramètres!$A$1:$I$89,3,0)*0.475*44/12</f>
        <v>31.51140566575695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139.75759773059511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5.6843418860808015E-14</v>
      </c>
      <c r="AJ123" s="14">
        <f>AI123*VLOOKUP('Données projet'!$B$10,Paramètres!$A$1:$I$89,3,0)*VLOOKUP('Données projet'!$B$10,Paramètres!$A$1:$I$89,5,0)</f>
        <v>5.4978954722173515E-14</v>
      </c>
      <c r="AK123" s="14">
        <f t="shared" si="89"/>
        <v>8.8550225887742724E-13</v>
      </c>
      <c r="AL123" s="22">
        <f t="shared" si="58"/>
        <v>1.6380047803526383E-12</v>
      </c>
      <c r="AM123" s="62">
        <f t="shared" si="59"/>
        <v>282.10816074347827</v>
      </c>
      <c r="AN123" s="62">
        <f ca="1">AVERAGE(OFFSET($AM$3,0,0,'Données projet'!$E$10+1,1))-AVERAGE(OFFSET($H$3,0,0,'Données projet'!$E$10+1,1))</f>
        <v>265.30115826265654</v>
      </c>
      <c r="AO123" s="62">
        <f t="shared" si="90"/>
        <v>187.99130270616999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29.652480571937506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29.652480571937506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5.6843418860808015E-14</v>
      </c>
      <c r="BE123" s="14">
        <f>BD123*VLOOKUP('Données projet'!$B$11,Paramètres!$A$1:$I$89,3,0)*VLOOKUP('Données projet'!$B$11,Paramètres!$A$1:$I$89,5,0)</f>
        <v>6.1186256061773749E-14</v>
      </c>
      <c r="BF123" s="14">
        <f t="shared" si="91"/>
        <v>9.7328366192051127E-13</v>
      </c>
      <c r="BG123" s="22">
        <f t="shared" si="61"/>
        <v>1.8017017738191463E-12</v>
      </c>
      <c r="BH123" s="62">
        <f t="shared" si="62"/>
        <v>282.10816074347844</v>
      </c>
      <c r="BI123" s="62">
        <f ca="1">AVERAGE(OFFSET($BH$3,0,0,'Données projet'!$E$11+1,1))-AVERAGE(OFFSET($H$3,0,0,'Données projet'!$E$11+1,1))</f>
        <v>287.77879820226661</v>
      </c>
      <c r="BJ123" s="62">
        <f t="shared" si="92"/>
        <v>202.51334141855753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33.000341281672391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33.000341281672391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435.66722289172486</v>
      </c>
      <c r="T124" s="62">
        <f t="shared" si="88"/>
        <v>297.32483725004136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106.12355026210456</v>
      </c>
      <c r="AA124" s="23">
        <f>EXP(-LN(2)/25)*AA123+(1-EXP(-LN(2)/25))/(LN(2)/25)*Calculateur!V124*Calculateur!X124*VLOOKUP('Données projet'!$B$9,Paramètres!$A$1:$I$89,3,0)*0.475*44/12</f>
        <v>30.649724620714021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136.77327488281858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5.6843418860808015E-14</v>
      </c>
      <c r="AJ124" s="14">
        <f>AI124*VLOOKUP('Données projet'!$B$10,Paramètres!$A$1:$I$89,3,0)*VLOOKUP('Données projet'!$B$10,Paramètres!$A$1:$I$89,5,0)</f>
        <v>5.4978954722173515E-14</v>
      </c>
      <c r="AK124" s="14">
        <f t="shared" si="89"/>
        <v>8.8550225887742724E-13</v>
      </c>
      <c r="AL124" s="22">
        <f t="shared" si="58"/>
        <v>1.6380047803526383E-12</v>
      </c>
      <c r="AM124" s="62">
        <f t="shared" si="59"/>
        <v>282.30289239218604</v>
      </c>
      <c r="AN124" s="62">
        <f ca="1">AVERAGE(OFFSET($AM$3,0,0,'Données projet'!$E$10+1,1))-AVERAGE(OFFSET($H$3,0,0,'Données projet'!$E$10+1,1))</f>
        <v>265.30115826265654</v>
      </c>
      <c r="AO124" s="62">
        <f t="shared" si="90"/>
        <v>187.99130270616999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28.841631931341695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28.841631931341695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5.6843418860808015E-14</v>
      </c>
      <c r="BE124" s="14">
        <f>BD124*VLOOKUP('Données projet'!$B$11,Paramètres!$A$1:$I$89,3,0)*VLOOKUP('Données projet'!$B$11,Paramètres!$A$1:$I$89,5,0)</f>
        <v>6.1186256061773749E-14</v>
      </c>
      <c r="BF124" s="14">
        <f t="shared" si="91"/>
        <v>9.7328366192051127E-13</v>
      </c>
      <c r="BG124" s="22">
        <f t="shared" si="61"/>
        <v>1.8017017738191463E-12</v>
      </c>
      <c r="BH124" s="62">
        <f t="shared" si="62"/>
        <v>282.30289239218621</v>
      </c>
      <c r="BI124" s="62">
        <f ca="1">AVERAGE(OFFSET($BH$3,0,0,'Données projet'!$E$11+1,1))-AVERAGE(OFFSET($H$3,0,0,'Données projet'!$E$11+1,1))</f>
        <v>287.77879820226661</v>
      </c>
      <c r="BJ124" s="62">
        <f t="shared" si="92"/>
        <v>202.51334141855753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32.097945213912531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32.097945213912531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435.66722289172486</v>
      </c>
      <c r="T125" s="62">
        <f t="shared" si="88"/>
        <v>297.32483725004136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104.04253217043889</v>
      </c>
      <c r="AA125" s="23">
        <f>EXP(-LN(2)/25)*AA124+(1-EXP(-LN(2)/25))/(LN(2)/25)*Calculateur!V125*Calculateur!X125*VLOOKUP('Données projet'!$B$9,Paramètres!$A$1:$I$89,3,0)*0.475*44/12</f>
        <v>29.811606289161631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133.85413845960051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5.6843418860808015E-14</v>
      </c>
      <c r="AJ125" s="14">
        <f>AI125*VLOOKUP('Données projet'!$B$10,Paramètres!$A$1:$I$89,3,0)*VLOOKUP('Données projet'!$B$10,Paramètres!$A$1:$I$89,5,0)</f>
        <v>5.4978954722173515E-14</v>
      </c>
      <c r="AK125" s="14">
        <f t="shared" si="89"/>
        <v>8.8550225887742724E-13</v>
      </c>
      <c r="AL125" s="22">
        <f t="shared" si="58"/>
        <v>1.6380047803526383E-12</v>
      </c>
      <c r="AM125" s="62">
        <f t="shared" si="59"/>
        <v>282.49424588214345</v>
      </c>
      <c r="AN125" s="62">
        <f ca="1">AVERAGE(OFFSET($AM$3,0,0,'Données projet'!$E$10+1,1))-AVERAGE(OFFSET($H$3,0,0,'Données projet'!$E$10+1,1))</f>
        <v>265.30115826265654</v>
      </c>
      <c r="AO125" s="62">
        <f t="shared" si="90"/>
        <v>187.99130270616999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28.052955989463651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28.052955989463651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5.6843418860808015E-14</v>
      </c>
      <c r="BE125" s="14">
        <f>BD125*VLOOKUP('Données projet'!$B$11,Paramètres!$A$1:$I$89,3,0)*VLOOKUP('Données projet'!$B$11,Paramètres!$A$1:$I$89,5,0)</f>
        <v>6.1186256061773749E-14</v>
      </c>
      <c r="BF125" s="14">
        <f t="shared" si="91"/>
        <v>9.7328366192051127E-13</v>
      </c>
      <c r="BG125" s="22">
        <f t="shared" si="61"/>
        <v>1.8017017738191463E-12</v>
      </c>
      <c r="BH125" s="62">
        <f t="shared" si="62"/>
        <v>282.49424588214362</v>
      </c>
      <c r="BI125" s="62">
        <f ca="1">AVERAGE(OFFSET($BH$3,0,0,'Données projet'!$E$11+1,1))-AVERAGE(OFFSET($H$3,0,0,'Données projet'!$E$11+1,1))</f>
        <v>287.77879820226661</v>
      </c>
      <c r="BJ125" s="62">
        <f t="shared" si="92"/>
        <v>202.51334141855753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31.220225214080514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31.220225214080514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435.66722289172486</v>
      </c>
      <c r="T126" s="62">
        <f t="shared" si="88"/>
        <v>297.32483725004136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102.00232157425508</v>
      </c>
      <c r="AA126" s="23">
        <f>EXP(-LN(2)/25)*AA125+(1-EXP(-LN(2)/25))/(LN(2)/25)*Calculateur!V126*Calculateur!X126*VLOOKUP('Données projet'!$B$9,Paramètres!$A$1:$I$89,3,0)*0.475*44/12</f>
        <v>28.996406347460265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130.99872792171533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5.6843418860808015E-14</v>
      </c>
      <c r="AJ126" s="14">
        <f>AI126*VLOOKUP('Données projet'!$B$10,Paramètres!$A$1:$I$89,3,0)*VLOOKUP('Données projet'!$B$10,Paramètres!$A$1:$I$89,5,0)</f>
        <v>5.4978954722173515E-14</v>
      </c>
      <c r="AK126" s="14">
        <f t="shared" si="89"/>
        <v>8.8550225887742724E-13</v>
      </c>
      <c r="AL126" s="22">
        <f t="shared" si="58"/>
        <v>1.6380047803526383E-12</v>
      </c>
      <c r="AM126" s="62">
        <f t="shared" si="59"/>
        <v>282.68227981685231</v>
      </c>
      <c r="AN126" s="62">
        <f ca="1">AVERAGE(OFFSET($AM$3,0,0,'Données projet'!$E$10+1,1))-AVERAGE(OFFSET($H$3,0,0,'Données projet'!$E$10+1,1))</f>
        <v>265.30115826265654</v>
      </c>
      <c r="AO126" s="62">
        <f t="shared" si="90"/>
        <v>187.99130270616999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27.285846432690928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27.285846432690928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5.6843418860808015E-14</v>
      </c>
      <c r="BE126" s="14">
        <f>BD126*VLOOKUP('Données projet'!$B$11,Paramètres!$A$1:$I$89,3,0)*VLOOKUP('Données projet'!$B$11,Paramètres!$A$1:$I$89,5,0)</f>
        <v>6.1186256061773749E-14</v>
      </c>
      <c r="BF126" s="14">
        <f t="shared" si="91"/>
        <v>9.7328366192051127E-13</v>
      </c>
      <c r="BG126" s="22">
        <f t="shared" si="61"/>
        <v>1.8017017738191463E-12</v>
      </c>
      <c r="BH126" s="62">
        <f t="shared" si="62"/>
        <v>282.68227981685249</v>
      </c>
      <c r="BI126" s="62">
        <f ca="1">AVERAGE(OFFSET($BH$3,0,0,'Données projet'!$E$11+1,1))-AVERAGE(OFFSET($H$3,0,0,'Données projet'!$E$11+1,1))</f>
        <v>287.77879820226661</v>
      </c>
      <c r="BJ126" s="62">
        <f t="shared" si="92"/>
        <v>202.51334141855753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30.366506513801195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30.366506513801195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435.66722289172486</v>
      </c>
      <c r="T127" s="62">
        <f t="shared" si="88"/>
        <v>297.32483725004136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100.00211826345685</v>
      </c>
      <c r="AA127" s="23">
        <f>EXP(-LN(2)/25)*AA126+(1-EXP(-LN(2)/25))/(LN(2)/25)*Calculateur!V127*Calculateur!X127*VLOOKUP('Données projet'!$B$9,Paramètres!$A$1:$I$89,3,0)*0.475*44/12</f>
        <v>28.203498091034227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128.20561635449107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5.6843418860808015E-14</v>
      </c>
      <c r="AJ127" s="14">
        <f>AI127*VLOOKUP('Données projet'!$B$10,Paramètres!$A$1:$I$89,3,0)*VLOOKUP('Données projet'!$B$10,Paramètres!$A$1:$I$89,5,0)</f>
        <v>5.4978954722173515E-14</v>
      </c>
      <c r="AK127" s="14">
        <f t="shared" si="89"/>
        <v>8.8550225887742724E-13</v>
      </c>
      <c r="AL127" s="22">
        <f t="shared" si="58"/>
        <v>1.6380047803526383E-12</v>
      </c>
      <c r="AM127" s="62">
        <f t="shared" si="59"/>
        <v>282.86705178317499</v>
      </c>
      <c r="AN127" s="62">
        <f ca="1">AVERAGE(OFFSET($AM$3,0,0,'Données projet'!$E$10+1,1))-AVERAGE(OFFSET($H$3,0,0,'Données projet'!$E$10+1,1))</f>
        <v>265.30115826265654</v>
      </c>
      <c r="AO127" s="62">
        <f t="shared" si="90"/>
        <v>187.99130270616999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26.539713527088693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26.539713527088693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5.6843418860808015E-14</v>
      </c>
      <c r="BE127" s="14">
        <f>BD127*VLOOKUP('Données projet'!$B$11,Paramètres!$A$1:$I$89,3,0)*VLOOKUP('Données projet'!$B$11,Paramètres!$A$1:$I$89,5,0)</f>
        <v>6.1186256061773749E-14</v>
      </c>
      <c r="BF127" s="14">
        <f t="shared" si="91"/>
        <v>9.7328366192051127E-13</v>
      </c>
      <c r="BG127" s="22">
        <f t="shared" si="61"/>
        <v>1.8017017738191463E-12</v>
      </c>
      <c r="BH127" s="62">
        <f t="shared" si="62"/>
        <v>282.86705178317516</v>
      </c>
      <c r="BI127" s="62">
        <f ca="1">AVERAGE(OFFSET($BH$3,0,0,'Données projet'!$E$11+1,1))-AVERAGE(OFFSET($H$3,0,0,'Données projet'!$E$11+1,1))</f>
        <v>287.77879820226661</v>
      </c>
      <c r="BJ127" s="62">
        <f t="shared" si="92"/>
        <v>202.51334141855753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29.536132796276128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29.536132796276128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435.66722289172486</v>
      </c>
      <c r="T128" s="62">
        <f t="shared" si="88"/>
        <v>297.32483725004136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98.041137719579822</v>
      </c>
      <c r="AA128" s="23">
        <f>EXP(-LN(2)/25)*AA127+(1-EXP(-LN(2)/25))/(LN(2)/25)*Calculateur!V128*Calculateur!X128*VLOOKUP('Données projet'!$B$9,Paramètres!$A$1:$I$89,3,0)*0.475*44/12</f>
        <v>27.432271952577391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125.47340967215722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5.6843418860808015E-14</v>
      </c>
      <c r="AJ128" s="14">
        <f>AI128*VLOOKUP('Données projet'!$B$10,Paramètres!$A$1:$I$89,3,0)*VLOOKUP('Données projet'!$B$10,Paramètres!$A$1:$I$89,5,0)</f>
        <v>5.4978954722173515E-14</v>
      </c>
      <c r="AK128" s="14">
        <f t="shared" si="89"/>
        <v>8.8550225887742724E-13</v>
      </c>
      <c r="AL128" s="22">
        <f t="shared" si="58"/>
        <v>1.6380047803526383E-12</v>
      </c>
      <c r="AM128" s="62">
        <f t="shared" si="59"/>
        <v>283.04861836897015</v>
      </c>
      <c r="AN128" s="62">
        <f ca="1">AVERAGE(OFFSET($AM$3,0,0,'Données projet'!$E$10+1,1))-AVERAGE(OFFSET($H$3,0,0,'Données projet'!$E$10+1,1))</f>
        <v>265.30115826265654</v>
      </c>
      <c r="AO128" s="62">
        <f t="shared" si="90"/>
        <v>187.99130270616999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25.813983665027575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25.813983665027575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5.6843418860808015E-14</v>
      </c>
      <c r="BE128" s="14">
        <f>BD128*VLOOKUP('Données projet'!$B$11,Paramètres!$A$1:$I$89,3,0)*VLOOKUP('Données projet'!$B$11,Paramètres!$A$1:$I$89,5,0)</f>
        <v>6.1186256061773749E-14</v>
      </c>
      <c r="BF128" s="14">
        <f t="shared" si="91"/>
        <v>9.7328366192051127E-13</v>
      </c>
      <c r="BG128" s="22">
        <f t="shared" si="61"/>
        <v>1.8017017738191463E-12</v>
      </c>
      <c r="BH128" s="62">
        <f t="shared" si="62"/>
        <v>283.04861836897032</v>
      </c>
      <c r="BI128" s="62">
        <f ca="1">AVERAGE(OFFSET($BH$3,0,0,'Données projet'!$E$11+1,1))-AVERAGE(OFFSET($H$3,0,0,'Données projet'!$E$11+1,1))</f>
        <v>287.77879820226661</v>
      </c>
      <c r="BJ128" s="62">
        <f t="shared" si="92"/>
        <v>202.51334141855753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28.728465691724239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28.728465691724239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435.66722289172486</v>
      </c>
      <c r="T129" s="62">
        <f t="shared" si="88"/>
        <v>297.32483725004136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96.118610808088192</v>
      </c>
      <c r="AA129" s="23">
        <f>EXP(-LN(2)/25)*AA128+(1-EXP(-LN(2)/25))/(LN(2)/25)*Calculateur!V129*Calculateur!X129*VLOOKUP('Données projet'!$B$9,Paramètres!$A$1:$I$89,3,0)*0.475*44/12</f>
        <v>26.682135033433678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122.80074584152187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5.6843418860808015E-14</v>
      </c>
      <c r="AJ129" s="14">
        <f>AI129*VLOOKUP('Données projet'!$B$10,Paramètres!$A$1:$I$89,3,0)*VLOOKUP('Données projet'!$B$10,Paramètres!$A$1:$I$89,5,0)</f>
        <v>5.4978954722173515E-14</v>
      </c>
      <c r="AK129" s="14">
        <f t="shared" si="89"/>
        <v>8.8550225887742724E-13</v>
      </c>
      <c r="AL129" s="22">
        <f t="shared" si="58"/>
        <v>1.6380047803526383E-12</v>
      </c>
      <c r="AM129" s="62">
        <f t="shared" si="59"/>
        <v>283.22703518042385</v>
      </c>
      <c r="AN129" s="62">
        <f ca="1">AVERAGE(OFFSET($AM$3,0,0,'Données projet'!$E$10+1,1))-AVERAGE(OFFSET($H$3,0,0,'Données projet'!$E$10+1,1))</f>
        <v>265.30115826265654</v>
      </c>
      <c r="AO129" s="62">
        <f t="shared" si="90"/>
        <v>187.99130270616999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25.108098924208992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25.108098924208992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5.6843418860808015E-14</v>
      </c>
      <c r="BE129" s="14">
        <f>BD129*VLOOKUP('Données projet'!$B$11,Paramètres!$A$1:$I$89,3,0)*VLOOKUP('Données projet'!$B$11,Paramètres!$A$1:$I$89,5,0)</f>
        <v>6.1186256061773749E-14</v>
      </c>
      <c r="BF129" s="14">
        <f t="shared" si="91"/>
        <v>9.7328366192051127E-13</v>
      </c>
      <c r="BG129" s="22">
        <f t="shared" si="61"/>
        <v>1.8017017738191463E-12</v>
      </c>
      <c r="BH129" s="62">
        <f t="shared" si="62"/>
        <v>283.22703518042402</v>
      </c>
      <c r="BI129" s="62">
        <f ca="1">AVERAGE(OFFSET($BH$3,0,0,'Données projet'!$E$11+1,1))-AVERAGE(OFFSET($H$3,0,0,'Données projet'!$E$11+1,1))</f>
        <v>287.77879820226661</v>
      </c>
      <c r="BJ129" s="62">
        <f t="shared" si="92"/>
        <v>202.51334141855753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27.942884286619687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27.942884286619687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435.66722289172486</v>
      </c>
      <c r="T130" s="62">
        <f t="shared" si="88"/>
        <v>297.32483725004136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94.233783476705284</v>
      </c>
      <c r="AA130" s="23">
        <f>EXP(-LN(2)/25)*AA129+(1-EXP(-LN(2)/25))/(LN(2)/25)*Calculateur!V130*Calculateur!X130*VLOOKUP('Données projet'!$B$9,Paramètres!$A$1:$I$89,3,0)*0.475*44/12</f>
        <v>25.952510647791936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120.18629412449722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5.6843418860808015E-14</v>
      </c>
      <c r="AJ130" s="14">
        <f>AI130*VLOOKUP('Données projet'!$B$10,Paramètres!$A$1:$I$89,3,0)*VLOOKUP('Données projet'!$B$10,Paramètres!$A$1:$I$89,5,0)</f>
        <v>5.4978954722173515E-14</v>
      </c>
      <c r="AK130" s="14">
        <f t="shared" si="89"/>
        <v>8.8550225887742724E-13</v>
      </c>
      <c r="AL130" s="22">
        <f t="shared" si="58"/>
        <v>1.6380047803526383E-12</v>
      </c>
      <c r="AM130" s="62">
        <f t="shared" si="59"/>
        <v>283.40235685907908</v>
      </c>
      <c r="AN130" s="62">
        <f ca="1">AVERAGE(OFFSET($AM$3,0,0,'Données projet'!$E$10+1,1))-AVERAGE(OFFSET($H$3,0,0,'Données projet'!$E$10+1,1))</f>
        <v>265.30115826265654</v>
      </c>
      <c r="AO130" s="62">
        <f t="shared" si="90"/>
        <v>187.99130270616999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24.421516638748962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24.421516638748962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5.6843418860808015E-14</v>
      </c>
      <c r="BE130" s="14">
        <f>BD130*VLOOKUP('Données projet'!$B$11,Paramètres!$A$1:$I$89,3,0)*VLOOKUP('Données projet'!$B$11,Paramètres!$A$1:$I$89,5,0)</f>
        <v>6.1186256061773749E-14</v>
      </c>
      <c r="BF130" s="14">
        <f t="shared" si="91"/>
        <v>9.7328366192051127E-13</v>
      </c>
      <c r="BG130" s="22">
        <f t="shared" si="61"/>
        <v>1.8017017738191463E-12</v>
      </c>
      <c r="BH130" s="62">
        <f t="shared" si="62"/>
        <v>283.40235685907925</v>
      </c>
      <c r="BI130" s="62">
        <f ca="1">AVERAGE(OFFSET($BH$3,0,0,'Données projet'!$E$11+1,1))-AVERAGE(OFFSET($H$3,0,0,'Données projet'!$E$11+1,1))</f>
        <v>287.77879820226661</v>
      </c>
      <c r="BJ130" s="62">
        <f t="shared" si="92"/>
        <v>202.51334141855753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27.178784646349651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27.178784646349651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435.66722289172486</v>
      </c>
      <c r="T131" s="62">
        <f t="shared" si="88"/>
        <v>297.32483725004136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92.38591645965964</v>
      </c>
      <c r="AA131" s="23">
        <f>EXP(-LN(2)/25)*AA130+(1-EXP(-LN(2)/25))/(LN(2)/25)*Calculateur!V131*Calculateur!X131*VLOOKUP('Données projet'!$B$9,Paramètres!$A$1:$I$89,3,0)*0.475*44/12</f>
        <v>25.242837879344847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117.62875433900449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5.6843418860808015E-14</v>
      </c>
      <c r="AJ131" s="14">
        <f>AI131*VLOOKUP('Données projet'!$B$10,Paramètres!$A$1:$I$89,3,0)*VLOOKUP('Données projet'!$B$10,Paramètres!$A$1:$I$89,5,0)</f>
        <v>5.4978954722173515E-14</v>
      </c>
      <c r="AK131" s="14">
        <f t="shared" si="89"/>
        <v>8.8550225887742724E-13</v>
      </c>
      <c r="AL131" s="22">
        <f t="shared" si="58"/>
        <v>1.6380047803526383E-12</v>
      </c>
      <c r="AM131" s="62">
        <f t="shared" si="59"/>
        <v>283.57463709857018</v>
      </c>
      <c r="AN131" s="62">
        <f ca="1">AVERAGE(OFFSET($AM$3,0,0,'Données projet'!$E$10+1,1))-AVERAGE(OFFSET($H$3,0,0,'Données projet'!$E$10+1,1))</f>
        <v>265.30115826265654</v>
      </c>
      <c r="AO131" s="62">
        <f t="shared" si="90"/>
        <v>187.99130270616999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23.753708981990627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23.753708981990627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5.6843418860808015E-14</v>
      </c>
      <c r="BE131" s="14">
        <f>BD131*VLOOKUP('Données projet'!$B$11,Paramètres!$A$1:$I$89,3,0)*VLOOKUP('Données projet'!$B$11,Paramètres!$A$1:$I$89,5,0)</f>
        <v>6.1186256061773749E-14</v>
      </c>
      <c r="BF131" s="14">
        <f t="shared" si="91"/>
        <v>9.7328366192051127E-13</v>
      </c>
      <c r="BG131" s="22">
        <f t="shared" si="61"/>
        <v>1.8017017738191463E-12</v>
      </c>
      <c r="BH131" s="62">
        <f t="shared" si="62"/>
        <v>283.57463709857035</v>
      </c>
      <c r="BI131" s="62">
        <f ca="1">AVERAGE(OFFSET($BH$3,0,0,'Données projet'!$E$11+1,1))-AVERAGE(OFFSET($H$3,0,0,'Données projet'!$E$11+1,1))</f>
        <v>287.77879820226661</v>
      </c>
      <c r="BJ131" s="62">
        <f t="shared" si="92"/>
        <v>202.51334141855753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26.435579350925053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26.435579350925053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435.66722289172486</v>
      </c>
      <c r="T132" s="62">
        <f t="shared" si="88"/>
        <v>297.32483725004136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90.574284987730664</v>
      </c>
      <c r="AA132" s="23">
        <f>EXP(-LN(2)/25)*AA131+(1-EXP(-LN(2)/25))/(LN(2)/25)*Calculateur!V132*Calculateur!X132*VLOOKUP('Données projet'!$B$9,Paramètres!$A$1:$I$89,3,0)*0.475*44/12</f>
        <v>24.55257115007101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115.12685613780167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5.6843418860808015E-14</v>
      </c>
      <c r="AJ132" s="14">
        <f>AI132*VLOOKUP('Données projet'!$B$10,Paramètres!$A$1:$I$89,3,0)*VLOOKUP('Données projet'!$B$10,Paramètres!$A$1:$I$89,5,0)</f>
        <v>5.4978954722173515E-14</v>
      </c>
      <c r="AK132" s="14">
        <f t="shared" si="89"/>
        <v>8.8550225887742724E-13</v>
      </c>
      <c r="AL132" s="22">
        <f t="shared" ref="AL132:AL153" si="112">(AJ132+AK132)*0.475*44/12</f>
        <v>1.6380047803526383E-12</v>
      </c>
      <c r="AM132" s="62">
        <f t="shared" ref="AM132:AM195" si="113">AL132+(AD132+AE132)*44/12</f>
        <v>283.743928661067</v>
      </c>
      <c r="AN132" s="62">
        <f ca="1">AVERAGE(OFFSET($AM$3,0,0,'Données projet'!$E$10+1,1))-AVERAGE(OFFSET($H$3,0,0,'Données projet'!$E$10+1,1))</f>
        <v>265.30115826265654</v>
      </c>
      <c r="AO132" s="62">
        <f t="shared" si="90"/>
        <v>187.99130270616999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23.104162560724827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23.104162560724827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5.6843418860808015E-14</v>
      </c>
      <c r="BE132" s="14">
        <f>BD132*VLOOKUP('Données projet'!$B$11,Paramètres!$A$1:$I$89,3,0)*VLOOKUP('Données projet'!$B$11,Paramètres!$A$1:$I$89,5,0)</f>
        <v>6.1186256061773749E-14</v>
      </c>
      <c r="BF132" s="14">
        <f t="shared" si="91"/>
        <v>9.7328366192051127E-13</v>
      </c>
      <c r="BG132" s="22">
        <f t="shared" ref="BG132:BG153" si="115">(BE132+BF132)*0.475*44/12</f>
        <v>1.8017017738191463E-12</v>
      </c>
      <c r="BH132" s="62">
        <f t="shared" ref="BH132:BH195" si="116">BG132+(AY132+AZ132)*44/12</f>
        <v>283.74392866106717</v>
      </c>
      <c r="BI132" s="62">
        <f ca="1">AVERAGE(OFFSET($BH$3,0,0,'Données projet'!$E$11+1,1))-AVERAGE(OFFSET($H$3,0,0,'Données projet'!$E$11+1,1))</f>
        <v>287.77879820226661</v>
      </c>
      <c r="BJ132" s="62">
        <f t="shared" si="92"/>
        <v>202.51334141855753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25.712697043387308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25.712697043387308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435.66722289172486</v>
      </c>
      <c r="T133" s="62">
        <f t="shared" ref="T133:T196" si="142">$T$3</f>
        <v>297.32483725004136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88.798178503980125</v>
      </c>
      <c r="AA133" s="23">
        <f>EXP(-LN(2)/25)*AA132+(1-EXP(-LN(2)/25))/(LN(2)/25)*Calculateur!V133*Calculateur!X133*VLOOKUP('Données projet'!$B$9,Paramètres!$A$1:$I$89,3,0)*0.475*44/12</f>
        <v>23.881179800808717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112.67935830478885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5.6843418860808015E-14</v>
      </c>
      <c r="AJ133" s="14">
        <f>AI133*VLOOKUP('Données projet'!$B$10,Paramètres!$A$1:$I$89,3,0)*VLOOKUP('Données projet'!$B$10,Paramètres!$A$1:$I$89,5,0)</f>
        <v>5.4978954722173515E-14</v>
      </c>
      <c r="AK133" s="14">
        <f t="shared" ref="AK133:AK153" si="143">EXP(-1.0587+0.8836*LN(AJ133)+0.284)</f>
        <v>8.8550225887742724E-13</v>
      </c>
      <c r="AL133" s="22">
        <f t="shared" si="112"/>
        <v>1.6380047803526383E-12</v>
      </c>
      <c r="AM133" s="62">
        <f t="shared" si="113"/>
        <v>283.91028339343376</v>
      </c>
      <c r="AN133" s="62">
        <f ca="1">AVERAGE(OFFSET($AM$3,0,0,'Données projet'!$E$10+1,1))-AVERAGE(OFFSET($H$3,0,0,'Données projet'!$E$10+1,1))</f>
        <v>265.30115826265654</v>
      </c>
      <c r="AO133" s="62">
        <f t="shared" ref="AO133:AO196" si="144">$AO$3</f>
        <v>187.99130270616999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22.472378020506703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22.472378020506703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5.6843418860808015E-14</v>
      </c>
      <c r="BE133" s="14">
        <f>BD133*VLOOKUP('Données projet'!$B$11,Paramètres!$A$1:$I$89,3,0)*VLOOKUP('Données projet'!$B$11,Paramètres!$A$1:$I$89,5,0)</f>
        <v>6.1186256061773749E-14</v>
      </c>
      <c r="BF133" s="14">
        <f t="shared" ref="BF133:BF153" si="145">EXP(-1.0587+0.8836*LN(BE133)+0.284)</f>
        <v>9.7328366192051127E-13</v>
      </c>
      <c r="BG133" s="22">
        <f t="shared" si="115"/>
        <v>1.8017017738191463E-12</v>
      </c>
      <c r="BH133" s="62">
        <f t="shared" si="116"/>
        <v>283.91028339343393</v>
      </c>
      <c r="BI133" s="62">
        <f ca="1">AVERAGE(OFFSET($BH$3,0,0,'Données projet'!$E$11+1,1))-AVERAGE(OFFSET($H$3,0,0,'Données projet'!$E$11+1,1))</f>
        <v>287.77879820226661</v>
      </c>
      <c r="BJ133" s="62">
        <f t="shared" ref="BJ133:BJ196" si="146">$BJ$3</f>
        <v>202.51334141855753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25.009581990563913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25.009581990563913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435.66722289172486</v>
      </c>
      <c r="T134" s="62">
        <f t="shared" si="142"/>
        <v>297.32483725004136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87.056900385057958</v>
      </c>
      <c r="AA134" s="23">
        <f>EXP(-LN(2)/25)*AA133+(1-EXP(-LN(2)/25))/(LN(2)/25)*Calculateur!V134*Calculateur!X134*VLOOKUP('Données projet'!$B$9,Paramètres!$A$1:$I$89,3,0)*0.475*44/12</f>
        <v>23.228147683298939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110.2850480683569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5.6843418860808015E-14</v>
      </c>
      <c r="AJ134" s="14">
        <f>AI134*VLOOKUP('Données projet'!$B$10,Paramètres!$A$1:$I$89,3,0)*VLOOKUP('Données projet'!$B$10,Paramètres!$A$1:$I$89,5,0)</f>
        <v>5.4978954722173515E-14</v>
      </c>
      <c r="AK134" s="14">
        <f t="shared" si="143"/>
        <v>8.8550225887742724E-13</v>
      </c>
      <c r="AL134" s="22">
        <f t="shared" si="112"/>
        <v>1.6380047803526383E-12</v>
      </c>
      <c r="AM134" s="62">
        <f t="shared" si="113"/>
        <v>284.07375224310738</v>
      </c>
      <c r="AN134" s="62">
        <f ca="1">AVERAGE(OFFSET($AM$3,0,0,'Données projet'!$E$10+1,1))-AVERAGE(OFFSET($H$3,0,0,'Données projet'!$E$10+1,1))</f>
        <v>265.30115826265654</v>
      </c>
      <c r="AO134" s="62">
        <f t="shared" si="144"/>
        <v>187.99130270616999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21.857869661764948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21.857869661764948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5.6843418860808015E-14</v>
      </c>
      <c r="BE134" s="14">
        <f>BD134*VLOOKUP('Données projet'!$B$11,Paramètres!$A$1:$I$89,3,0)*VLOOKUP('Données projet'!$B$11,Paramètres!$A$1:$I$89,5,0)</f>
        <v>6.1186256061773749E-14</v>
      </c>
      <c r="BF134" s="14">
        <f t="shared" si="145"/>
        <v>9.7328366192051127E-13</v>
      </c>
      <c r="BG134" s="22">
        <f t="shared" si="115"/>
        <v>1.8017017738191463E-12</v>
      </c>
      <c r="BH134" s="62">
        <f t="shared" si="116"/>
        <v>284.07375224310755</v>
      </c>
      <c r="BI134" s="62">
        <f ca="1">AVERAGE(OFFSET($BH$3,0,0,'Données projet'!$E$11+1,1))-AVERAGE(OFFSET($H$3,0,0,'Données projet'!$E$11+1,1))</f>
        <v>287.77879820226661</v>
      </c>
      <c r="BJ134" s="62">
        <f t="shared" si="146"/>
        <v>202.51334141855753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24.325693655835185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24.325693655835185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435.66722289172486</v>
      </c>
      <c r="T135" s="62">
        <f t="shared" si="142"/>
        <v>297.32483725004136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85.349767667973069</v>
      </c>
      <c r="AA135" s="23">
        <f>EXP(-LN(2)/25)*AA134+(1-EXP(-LN(2)/25))/(LN(2)/25)*Calculateur!V135*Calculateur!X135*VLOOKUP('Données projet'!$B$9,Paramètres!$A$1:$I$89,3,0)*0.475*44/12</f>
        <v>22.59297276338393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107.942740431357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5.6843418860808015E-14</v>
      </c>
      <c r="AJ135" s="14">
        <f>AI135*VLOOKUP('Données projet'!$B$10,Paramètres!$A$1:$I$89,3,0)*VLOOKUP('Données projet'!$B$10,Paramètres!$A$1:$I$89,5,0)</f>
        <v>5.4978954722173515E-14</v>
      </c>
      <c r="AK135" s="14">
        <f t="shared" si="143"/>
        <v>8.8550225887742724E-13</v>
      </c>
      <c r="AL135" s="22">
        <f t="shared" si="112"/>
        <v>1.6380047803526383E-12</v>
      </c>
      <c r="AM135" s="62">
        <f t="shared" si="113"/>
        <v>284.23438527370081</v>
      </c>
      <c r="AN135" s="62">
        <f ca="1">AVERAGE(OFFSET($AM$3,0,0,'Données projet'!$E$10+1,1))-AVERAGE(OFFSET($H$3,0,0,'Données projet'!$E$10+1,1))</f>
        <v>265.30115826265654</v>
      </c>
      <c r="AO135" s="62">
        <f t="shared" si="144"/>
        <v>187.99130270616999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21.260165066408575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21.260165066408575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5.6843418860808015E-14</v>
      </c>
      <c r="BE135" s="14">
        <f>BD135*VLOOKUP('Données projet'!$B$11,Paramètres!$A$1:$I$89,3,0)*VLOOKUP('Données projet'!$B$11,Paramètres!$A$1:$I$89,5,0)</f>
        <v>6.1186256061773749E-14</v>
      </c>
      <c r="BF135" s="14">
        <f t="shared" si="145"/>
        <v>9.7328366192051127E-13</v>
      </c>
      <c r="BG135" s="22">
        <f t="shared" si="115"/>
        <v>1.8017017738191463E-12</v>
      </c>
      <c r="BH135" s="62">
        <f t="shared" si="116"/>
        <v>284.23438527370098</v>
      </c>
      <c r="BI135" s="62">
        <f ca="1">AVERAGE(OFFSET($BH$3,0,0,'Données projet'!$E$11+1,1))-AVERAGE(OFFSET($H$3,0,0,'Données projet'!$E$11+1,1))</f>
        <v>287.77879820226661</v>
      </c>
      <c r="BJ135" s="62">
        <f t="shared" si="146"/>
        <v>202.51334141855753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23.660506283583739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23.660506283583739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435.66722289172486</v>
      </c>
      <c r="T136" s="62">
        <f t="shared" si="142"/>
        <v>297.32483725004136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83.676110782222068</v>
      </c>
      <c r="AA136" s="23">
        <f>EXP(-LN(2)/25)*AA135+(1-EXP(-LN(2)/25))/(LN(2)/25)*Calculateur!V136*Calculateur!X136*VLOOKUP('Données projet'!$B$9,Paramètres!$A$1:$I$89,3,0)*0.475*44/12</f>
        <v>21.975166735056394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105.65127751727846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5.6843418860808015E-14</v>
      </c>
      <c r="AJ136" s="14">
        <f>AI136*VLOOKUP('Données projet'!$B$10,Paramètres!$A$1:$I$89,3,0)*VLOOKUP('Données projet'!$B$10,Paramètres!$A$1:$I$89,5,0)</f>
        <v>5.4978954722173515E-14</v>
      </c>
      <c r="AK136" s="14">
        <f t="shared" si="143"/>
        <v>8.8550225887742724E-13</v>
      </c>
      <c r="AL136" s="22">
        <f t="shared" si="112"/>
        <v>1.6380047803526383E-12</v>
      </c>
      <c r="AM136" s="62">
        <f t="shared" si="113"/>
        <v>284.39223168033504</v>
      </c>
      <c r="AN136" s="62">
        <f ca="1">AVERAGE(OFFSET($AM$3,0,0,'Données projet'!$E$10+1,1))-AVERAGE(OFFSET($H$3,0,0,'Données projet'!$E$10+1,1))</f>
        <v>265.30115826265654</v>
      </c>
      <c r="AO136" s="62">
        <f t="shared" si="144"/>
        <v>187.99130270616999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20.678804734644142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20.678804734644142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5.6843418860808015E-14</v>
      </c>
      <c r="BE136" s="14">
        <f>BD136*VLOOKUP('Données projet'!$B$11,Paramètres!$A$1:$I$89,3,0)*VLOOKUP('Données projet'!$B$11,Paramètres!$A$1:$I$89,5,0)</f>
        <v>6.1186256061773749E-14</v>
      </c>
      <c r="BF136" s="14">
        <f t="shared" si="145"/>
        <v>9.7328366192051127E-13</v>
      </c>
      <c r="BG136" s="22">
        <f t="shared" si="115"/>
        <v>1.8017017738191463E-12</v>
      </c>
      <c r="BH136" s="62">
        <f t="shared" si="116"/>
        <v>284.39223168033521</v>
      </c>
      <c r="BI136" s="62">
        <f ca="1">AVERAGE(OFFSET($BH$3,0,0,'Données projet'!$E$11+1,1))-AVERAGE(OFFSET($H$3,0,0,'Données projet'!$E$11+1,1))</f>
        <v>287.77879820226661</v>
      </c>
      <c r="BJ136" s="62">
        <f t="shared" si="146"/>
        <v>202.51334141855753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23.013508495007194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23.013508495007194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435.66722289172486</v>
      </c>
      <c r="T137" s="62">
        <f t="shared" si="142"/>
        <v>297.32483725004136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82.035273287170753</v>
      </c>
      <c r="AA137" s="23">
        <f>EXP(-LN(2)/25)*AA136+(1-EXP(-LN(2)/25))/(LN(2)/25)*Calculateur!V137*Calculateur!X137*VLOOKUP('Données projet'!$B$9,Paramètres!$A$1:$I$89,3,0)*0.475*44/12</f>
        <v>21.374254645062482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103.40952793223323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5.6843418860808015E-14</v>
      </c>
      <c r="AJ137" s="14">
        <f>AI137*VLOOKUP('Données projet'!$B$10,Paramètres!$A$1:$I$89,3,0)*VLOOKUP('Données projet'!$B$10,Paramètres!$A$1:$I$89,5,0)</f>
        <v>5.4978954722173515E-14</v>
      </c>
      <c r="AK137" s="14">
        <f t="shared" si="143"/>
        <v>8.8550225887742724E-13</v>
      </c>
      <c r="AL137" s="22">
        <f t="shared" si="112"/>
        <v>1.6380047803526383E-12</v>
      </c>
      <c r="AM137" s="62">
        <f t="shared" si="113"/>
        <v>284.54733980470593</v>
      </c>
      <c r="AN137" s="62">
        <f ca="1">AVERAGE(OFFSET($AM$3,0,0,'Données projet'!$E$10+1,1))-AVERAGE(OFFSET($H$3,0,0,'Données projet'!$E$10+1,1))</f>
        <v>265.30115826265654</v>
      </c>
      <c r="AO137" s="62">
        <f t="shared" si="144"/>
        <v>187.99130270616999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20.113341731724219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20.113341731724219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5.6843418860808015E-14</v>
      </c>
      <c r="BE137" s="14">
        <f>BD137*VLOOKUP('Données projet'!$B$11,Paramètres!$A$1:$I$89,3,0)*VLOOKUP('Données projet'!$B$11,Paramètres!$A$1:$I$89,5,0)</f>
        <v>6.1186256061773749E-14</v>
      </c>
      <c r="BF137" s="14">
        <f t="shared" si="145"/>
        <v>9.7328366192051127E-13</v>
      </c>
      <c r="BG137" s="22">
        <f t="shared" si="115"/>
        <v>1.8017017738191463E-12</v>
      </c>
      <c r="BH137" s="62">
        <f t="shared" si="116"/>
        <v>284.5473398047061</v>
      </c>
      <c r="BI137" s="62">
        <f ca="1">AVERAGE(OFFSET($BH$3,0,0,'Données projet'!$E$11+1,1))-AVERAGE(OFFSET($H$3,0,0,'Données projet'!$E$11+1,1))</f>
        <v>287.77879820226661</v>
      </c>
      <c r="BJ137" s="62">
        <f t="shared" si="146"/>
        <v>202.51334141855753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22.38420289498341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22.38420289498341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435.66722289172486</v>
      </c>
      <c r="T138" s="62">
        <f t="shared" si="142"/>
        <v>297.32483725004136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80.42661161458534</v>
      </c>
      <c r="AA138" s="23">
        <f>EXP(-LN(2)/25)*AA137+(1-EXP(-LN(2)/25))/(LN(2)/25)*Calculateur!V138*Calculateur!X138*VLOOKUP('Données projet'!$B$9,Paramètres!$A$1:$I$89,3,0)*0.475*44/12</f>
        <v>20.789774527770049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101.21638614235539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5.6843418860808015E-14</v>
      </c>
      <c r="AJ138" s="14">
        <f>AI138*VLOOKUP('Données projet'!$B$10,Paramètres!$A$1:$I$89,3,0)*VLOOKUP('Données projet'!$B$10,Paramètres!$A$1:$I$89,5,0)</f>
        <v>5.4978954722173515E-14</v>
      </c>
      <c r="AK138" s="14">
        <f t="shared" si="143"/>
        <v>8.8550225887742724E-13</v>
      </c>
      <c r="AL138" s="22">
        <f t="shared" si="112"/>
        <v>1.6380047803526383E-12</v>
      </c>
      <c r="AM138" s="62">
        <f t="shared" si="113"/>
        <v>284.6997571498888</v>
      </c>
      <c r="AN138" s="62">
        <f ca="1">AVERAGE(OFFSET($AM$3,0,0,'Données projet'!$E$10+1,1))-AVERAGE(OFFSET($H$3,0,0,'Données projet'!$E$10+1,1))</f>
        <v>265.30115826265654</v>
      </c>
      <c r="AO138" s="62">
        <f t="shared" si="144"/>
        <v>187.99130270616999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19.56334134435555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19.56334134435555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5.6843418860808015E-14</v>
      </c>
      <c r="BE138" s="14">
        <f>BD138*VLOOKUP('Données projet'!$B$11,Paramètres!$A$1:$I$89,3,0)*VLOOKUP('Données projet'!$B$11,Paramètres!$A$1:$I$89,5,0)</f>
        <v>6.1186256061773749E-14</v>
      </c>
      <c r="BF138" s="14">
        <f t="shared" si="145"/>
        <v>9.7328366192051127E-13</v>
      </c>
      <c r="BG138" s="22">
        <f t="shared" si="115"/>
        <v>1.8017017738191463E-12</v>
      </c>
      <c r="BH138" s="62">
        <f t="shared" si="116"/>
        <v>284.69975714988897</v>
      </c>
      <c r="BI138" s="62">
        <f ca="1">AVERAGE(OFFSET($BH$3,0,0,'Données projet'!$E$11+1,1))-AVERAGE(OFFSET($H$3,0,0,'Données projet'!$E$11+1,1))</f>
        <v>287.77879820226661</v>
      </c>
      <c r="BJ138" s="62">
        <f t="shared" si="146"/>
        <v>202.51334141855753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21.772105689686018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21.772105689686018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435.66722289172486</v>
      </c>
      <c r="T139" s="62">
        <f t="shared" si="142"/>
        <v>297.32483725004136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78.849494816212584</v>
      </c>
      <c r="AA139" s="23">
        <f>EXP(-LN(2)/25)*AA138+(1-EXP(-LN(2)/25))/(LN(2)/25)*Calculateur!V139*Calculateur!X139*VLOOKUP('Données projet'!$B$9,Paramètres!$A$1:$I$89,3,0)*0.475*44/12</f>
        <v>20.221277050021449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99.070771866234026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5.6843418860808015E-14</v>
      </c>
      <c r="AJ139" s="14">
        <f>AI139*VLOOKUP('Données projet'!$B$10,Paramètres!$A$1:$I$89,3,0)*VLOOKUP('Données projet'!$B$10,Paramètres!$A$1:$I$89,5,0)</f>
        <v>5.4978954722173515E-14</v>
      </c>
      <c r="AK139" s="14">
        <f t="shared" si="143"/>
        <v>8.8550225887742724E-13</v>
      </c>
      <c r="AL139" s="22">
        <f t="shared" si="112"/>
        <v>1.6380047803526383E-12</v>
      </c>
      <c r="AM139" s="62">
        <f t="shared" si="113"/>
        <v>284.84953039488687</v>
      </c>
      <c r="AN139" s="62">
        <f ca="1">AVERAGE(OFFSET($AM$3,0,0,'Données projet'!$E$10+1,1))-AVERAGE(OFFSET($H$3,0,0,'Données projet'!$E$10+1,1))</f>
        <v>265.30115826265654</v>
      </c>
      <c r="AO139" s="62">
        <f t="shared" si="144"/>
        <v>187.99130270616999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19.028380746502737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19.028380746502737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5.6843418860808015E-14</v>
      </c>
      <c r="BE139" s="14">
        <f>BD139*VLOOKUP('Données projet'!$B$11,Paramètres!$A$1:$I$89,3,0)*VLOOKUP('Données projet'!$B$11,Paramètres!$A$1:$I$89,5,0)</f>
        <v>6.1186256061773749E-14</v>
      </c>
      <c r="BF139" s="14">
        <f t="shared" si="145"/>
        <v>9.7328366192051127E-13</v>
      </c>
      <c r="BG139" s="22">
        <f t="shared" si="115"/>
        <v>1.8017017738191463E-12</v>
      </c>
      <c r="BH139" s="62">
        <f t="shared" si="116"/>
        <v>284.84953039488704</v>
      </c>
      <c r="BI139" s="62">
        <f ca="1">AVERAGE(OFFSET($BH$3,0,0,'Données projet'!$E$11+1,1))-AVERAGE(OFFSET($H$3,0,0,'Données projet'!$E$11+1,1))</f>
        <v>287.77879820226661</v>
      </c>
      <c r="BJ139" s="62">
        <f t="shared" si="146"/>
        <v>202.51334141855753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21.176746314656278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21.176746314656278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435.66722289172486</v>
      </c>
      <c r="T140" s="62">
        <f t="shared" si="142"/>
        <v>297.32483725004136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77.303304316309664</v>
      </c>
      <c r="AA140" s="23">
        <f>EXP(-LN(2)/25)*AA139+(1-EXP(-LN(2)/25))/(LN(2)/25)*Calculateur!V140*Calculateur!X140*VLOOKUP('Données projet'!$B$9,Paramètres!$A$1:$I$89,3,0)*0.475*44/12</f>
        <v>19.668325165697869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96.971629482007529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5.6843418860808015E-14</v>
      </c>
      <c r="AJ140" s="14">
        <f>AI140*VLOOKUP('Données projet'!$B$10,Paramètres!$A$1:$I$89,3,0)*VLOOKUP('Données projet'!$B$10,Paramètres!$A$1:$I$89,5,0)</f>
        <v>5.4978954722173515E-14</v>
      </c>
      <c r="AK140" s="14">
        <f t="shared" si="143"/>
        <v>8.8550225887742724E-13</v>
      </c>
      <c r="AL140" s="22">
        <f t="shared" si="112"/>
        <v>1.6380047803526383E-12</v>
      </c>
      <c r="AM140" s="62">
        <f t="shared" si="113"/>
        <v>284.99670540892703</v>
      </c>
      <c r="AN140" s="62">
        <f ca="1">AVERAGE(OFFSET($AM$3,0,0,'Données projet'!$E$10+1,1))-AVERAGE(OFFSET($H$3,0,0,'Données projet'!$E$10+1,1))</f>
        <v>265.30115826265654</v>
      </c>
      <c r="AO140" s="62">
        <f t="shared" si="144"/>
        <v>187.99130270616999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18.508048674330567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18.508048674330567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5.6843418860808015E-14</v>
      </c>
      <c r="BE140" s="14">
        <f>BD140*VLOOKUP('Données projet'!$B$11,Paramètres!$A$1:$I$89,3,0)*VLOOKUP('Données projet'!$B$11,Paramètres!$A$1:$I$89,5,0)</f>
        <v>6.1186256061773749E-14</v>
      </c>
      <c r="BF140" s="14">
        <f t="shared" si="145"/>
        <v>9.7328366192051127E-13</v>
      </c>
      <c r="BG140" s="22">
        <f t="shared" si="115"/>
        <v>1.8017017738191463E-12</v>
      </c>
      <c r="BH140" s="62">
        <f t="shared" si="116"/>
        <v>284.9967054089272</v>
      </c>
      <c r="BI140" s="62">
        <f ca="1">AVERAGE(OFFSET($BH$3,0,0,'Données projet'!$E$11+1,1))-AVERAGE(OFFSET($H$3,0,0,'Données projet'!$E$11+1,1))</f>
        <v>287.77879820226661</v>
      </c>
      <c r="BJ140" s="62">
        <f t="shared" si="146"/>
        <v>202.51334141855753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20.597667073045312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20.597667073045312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435.66722289172486</v>
      </c>
      <c r="T141" s="62">
        <f t="shared" si="142"/>
        <v>297.32483725004136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75.787433669026754</v>
      </c>
      <c r="AA141" s="23">
        <f>EXP(-LN(2)/25)*AA140+(1-EXP(-LN(2)/25))/(LN(2)/25)*Calculateur!V141*Calculateur!X141*VLOOKUP('Données projet'!$B$9,Paramètres!$A$1:$I$89,3,0)*0.475*44/12</f>
        <v>19.130493779729594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94.917927448756345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5.6843418860808015E-14</v>
      </c>
      <c r="AJ141" s="14">
        <f>AI141*VLOOKUP('Données projet'!$B$10,Paramètres!$A$1:$I$89,3,0)*VLOOKUP('Données projet'!$B$10,Paramètres!$A$1:$I$89,5,0)</f>
        <v>5.4978954722173515E-14</v>
      </c>
      <c r="AK141" s="14">
        <f t="shared" si="143"/>
        <v>8.8550225887742724E-13</v>
      </c>
      <c r="AL141" s="22">
        <f t="shared" si="112"/>
        <v>1.6380047803526383E-12</v>
      </c>
      <c r="AM141" s="62">
        <f t="shared" si="113"/>
        <v>285.14132726550758</v>
      </c>
      <c r="AN141" s="62">
        <f ca="1">AVERAGE(OFFSET($AM$3,0,0,'Données projet'!$E$10+1,1))-AVERAGE(OFFSET($H$3,0,0,'Données projet'!$E$10+1,1))</f>
        <v>265.30115826265654</v>
      </c>
      <c r="AO141" s="62">
        <f t="shared" si="144"/>
        <v>187.99130270616999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18.00194511003502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18.00194511003502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5.6843418860808015E-14</v>
      </c>
      <c r="BE141" s="14">
        <f>BD141*VLOOKUP('Données projet'!$B$11,Paramètres!$A$1:$I$89,3,0)*VLOOKUP('Données projet'!$B$11,Paramètres!$A$1:$I$89,5,0)</f>
        <v>6.1186256061773749E-14</v>
      </c>
      <c r="BF141" s="14">
        <f t="shared" si="145"/>
        <v>9.7328366192051127E-13</v>
      </c>
      <c r="BG141" s="22">
        <f t="shared" si="115"/>
        <v>1.8017017738191463E-12</v>
      </c>
      <c r="BH141" s="62">
        <f t="shared" si="116"/>
        <v>285.14132726550775</v>
      </c>
      <c r="BI141" s="62">
        <f ca="1">AVERAGE(OFFSET($BH$3,0,0,'Données projet'!$E$11+1,1))-AVERAGE(OFFSET($H$3,0,0,'Données projet'!$E$11+1,1))</f>
        <v>287.77879820226661</v>
      </c>
      <c r="BJ141" s="62">
        <f t="shared" si="146"/>
        <v>202.51334141855753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20.034422783748653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20.034422783748653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435.66722289172486</v>
      </c>
      <c r="T142" s="62">
        <f t="shared" si="142"/>
        <v>297.32483725004136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74.301288320547258</v>
      </c>
      <c r="AA142" s="23">
        <f>EXP(-LN(2)/25)*AA141+(1-EXP(-LN(2)/25))/(LN(2)/25)*Calculateur!V142*Calculateur!X142*VLOOKUP('Données projet'!$B$9,Paramètres!$A$1:$I$89,3,0)*0.475*44/12</f>
        <v>18.607369421293942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92.908657741841196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5.6843418860808015E-14</v>
      </c>
      <c r="AJ142" s="14">
        <f>AI142*VLOOKUP('Données projet'!$B$10,Paramètres!$A$1:$I$89,3,0)*VLOOKUP('Données projet'!$B$10,Paramètres!$A$1:$I$89,5,0)</f>
        <v>5.4978954722173515E-14</v>
      </c>
      <c r="AK142" s="14">
        <f t="shared" si="143"/>
        <v>8.8550225887742724E-13</v>
      </c>
      <c r="AL142" s="22">
        <f t="shared" si="112"/>
        <v>1.6380047803526383E-12</v>
      </c>
      <c r="AM142" s="62">
        <f t="shared" si="113"/>
        <v>285.28344025620254</v>
      </c>
      <c r="AN142" s="62">
        <f ca="1">AVERAGE(OFFSET($AM$3,0,0,'Données projet'!$E$10+1,1))-AVERAGE(OFFSET($H$3,0,0,'Données projet'!$E$10+1,1))</f>
        <v>265.30115826265654</v>
      </c>
      <c r="AO142" s="62">
        <f t="shared" si="144"/>
        <v>187.99130270616999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17.509680974319963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17.509680974319963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5.6843418860808015E-14</v>
      </c>
      <c r="BE142" s="14">
        <f>BD142*VLOOKUP('Données projet'!$B$11,Paramètres!$A$1:$I$89,3,0)*VLOOKUP('Données projet'!$B$11,Paramètres!$A$1:$I$89,5,0)</f>
        <v>6.1186256061773749E-14</v>
      </c>
      <c r="BF142" s="14">
        <f t="shared" si="145"/>
        <v>9.7328366192051127E-13</v>
      </c>
      <c r="BG142" s="22">
        <f t="shared" si="115"/>
        <v>1.8017017738191463E-12</v>
      </c>
      <c r="BH142" s="62">
        <f t="shared" si="116"/>
        <v>285.28344025620271</v>
      </c>
      <c r="BI142" s="62">
        <f ca="1">AVERAGE(OFFSET($BH$3,0,0,'Données projet'!$E$11+1,1))-AVERAGE(OFFSET($H$3,0,0,'Données projet'!$E$11+1,1))</f>
        <v>287.77879820226661</v>
      </c>
      <c r="BJ142" s="62">
        <f t="shared" si="146"/>
        <v>202.51334141855753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19.486580439162541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19.486580439162541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435.66722289172486</v>
      </c>
      <c r="T143" s="62">
        <f t="shared" si="142"/>
        <v>297.32483725004136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72.844285375892298</v>
      </c>
      <c r="AA143" s="23">
        <f>EXP(-LN(2)/25)*AA142+(1-EXP(-LN(2)/25))/(LN(2)/25)*Calculateur!V143*Calculateur!X143*VLOOKUP('Données projet'!$B$9,Paramètres!$A$1:$I$89,3,0)*0.475*44/12</f>
        <v>18.09854992594963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90.942835301841924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5.6843418860808015E-14</v>
      </c>
      <c r="AJ143" s="14">
        <f>AI143*VLOOKUP('Données projet'!$B$10,Paramètres!$A$1:$I$89,3,0)*VLOOKUP('Données projet'!$B$10,Paramètres!$A$1:$I$89,5,0)</f>
        <v>5.4978954722173515E-14</v>
      </c>
      <c r="AK143" s="14">
        <f t="shared" si="143"/>
        <v>8.8550225887742724E-13</v>
      </c>
      <c r="AL143" s="22">
        <f t="shared" si="112"/>
        <v>1.6380047803526383E-12</v>
      </c>
      <c r="AM143" s="62">
        <f t="shared" si="113"/>
        <v>285.42308790422601</v>
      </c>
      <c r="AN143" s="62">
        <f ca="1">AVERAGE(OFFSET($AM$3,0,0,'Données projet'!$E$10+1,1))-AVERAGE(OFFSET($H$3,0,0,'Données projet'!$E$10+1,1))</f>
        <v>265.30115826265654</v>
      </c>
      <c r="AO143" s="62">
        <f t="shared" si="144"/>
        <v>187.99130270616999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17.030877827283081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17.030877827283081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5.6843418860808015E-14</v>
      </c>
      <c r="BE143" s="14">
        <f>BD143*VLOOKUP('Données projet'!$B$11,Paramètres!$A$1:$I$89,3,0)*VLOOKUP('Données projet'!$B$11,Paramètres!$A$1:$I$89,5,0)</f>
        <v>6.1186256061773749E-14</v>
      </c>
      <c r="BF143" s="14">
        <f t="shared" si="145"/>
        <v>9.7328366192051127E-13</v>
      </c>
      <c r="BG143" s="22">
        <f t="shared" si="115"/>
        <v>1.8017017738191463E-12</v>
      </c>
      <c r="BH143" s="62">
        <f t="shared" si="116"/>
        <v>285.42308790422618</v>
      </c>
      <c r="BI143" s="62">
        <f ca="1">AVERAGE(OFFSET($BH$3,0,0,'Données projet'!$E$11+1,1))-AVERAGE(OFFSET($H$3,0,0,'Données projet'!$E$11+1,1))</f>
        <v>287.77879820226661</v>
      </c>
      <c r="BJ143" s="62">
        <f t="shared" si="146"/>
        <v>202.51334141855753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18.953718872298914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18.953718872298914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435.66722289172486</v>
      </c>
      <c r="T144" s="62">
        <f t="shared" si="142"/>
        <v>297.32483725004136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71.415853370297967</v>
      </c>
      <c r="AA144" s="23">
        <f>EXP(-LN(2)/25)*AA143+(1-EXP(-LN(2)/25))/(LN(2)/25)*Calculateur!V144*Calculateur!X144*VLOOKUP('Données projet'!$B$9,Paramètres!$A$1:$I$89,3,0)*0.475*44/12</f>
        <v>17.603644126463163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89.019497496761133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5.6843418860808015E-14</v>
      </c>
      <c r="AJ144" s="14">
        <f>AI144*VLOOKUP('Données projet'!$B$10,Paramètres!$A$1:$I$89,3,0)*VLOOKUP('Données projet'!$B$10,Paramètres!$A$1:$I$89,5,0)</f>
        <v>5.4978954722173515E-14</v>
      </c>
      <c r="AK144" s="14">
        <f t="shared" si="143"/>
        <v>8.8550225887742724E-13</v>
      </c>
      <c r="AL144" s="22">
        <f t="shared" si="112"/>
        <v>1.6380047803526383E-12</v>
      </c>
      <c r="AM144" s="62">
        <f t="shared" si="113"/>
        <v>285.56031297776167</v>
      </c>
      <c r="AN144" s="62">
        <f ca="1">AVERAGE(OFFSET($AM$3,0,0,'Données projet'!$E$10+1,1))-AVERAGE(OFFSET($H$3,0,0,'Données projet'!$E$10+1,1))</f>
        <v>265.30115826265654</v>
      </c>
      <c r="AO144" s="62">
        <f t="shared" si="144"/>
        <v>187.99130270616999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16.565167577481084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16.565167577481084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5.6843418860808015E-14</v>
      </c>
      <c r="BE144" s="14">
        <f>BD144*VLOOKUP('Données projet'!$B$11,Paramètres!$A$1:$I$89,3,0)*VLOOKUP('Données projet'!$B$11,Paramètres!$A$1:$I$89,5,0)</f>
        <v>6.1186256061773749E-14</v>
      </c>
      <c r="BF144" s="14">
        <f t="shared" si="145"/>
        <v>9.7328366192051127E-13</v>
      </c>
      <c r="BG144" s="22">
        <f t="shared" si="115"/>
        <v>1.8017017738191463E-12</v>
      </c>
      <c r="BH144" s="62">
        <f t="shared" si="116"/>
        <v>285.56031297776184</v>
      </c>
      <c r="BI144" s="62">
        <f ca="1">AVERAGE(OFFSET($BH$3,0,0,'Données projet'!$E$11+1,1))-AVERAGE(OFFSET($H$3,0,0,'Données projet'!$E$11+1,1))</f>
        <v>287.77879820226661</v>
      </c>
      <c r="BJ144" s="62">
        <f t="shared" si="146"/>
        <v>202.51334141855753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18.435428433003143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18.435428433003143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435.66722289172486</v>
      </c>
      <c r="T145" s="62">
        <f t="shared" si="142"/>
        <v>297.32483725004136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70.015432045075855</v>
      </c>
      <c r="AA145" s="23">
        <f>EXP(-LN(2)/25)*AA144+(1-EXP(-LN(2)/25))/(LN(2)/25)*Calculateur!V145*Calculateur!X145*VLOOKUP('Données projet'!$B$9,Paramètres!$A$1:$I$89,3,0)*0.475*44/12</f>
        <v>17.122271552089618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87.137703597165469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5.6843418860808015E-14</v>
      </c>
      <c r="AJ145" s="14">
        <f>AI145*VLOOKUP('Données projet'!$B$10,Paramètres!$A$1:$I$89,3,0)*VLOOKUP('Données projet'!$B$10,Paramètres!$A$1:$I$89,5,0)</f>
        <v>5.4978954722173515E-14</v>
      </c>
      <c r="AK145" s="14">
        <f t="shared" si="143"/>
        <v>8.8550225887742724E-13</v>
      </c>
      <c r="AL145" s="22">
        <f t="shared" si="112"/>
        <v>1.6380047803526383E-12</v>
      </c>
      <c r="AM145" s="62">
        <f t="shared" si="113"/>
        <v>285.69515750306073</v>
      </c>
      <c r="AN145" s="62">
        <f ca="1">AVERAGE(OFFSET($AM$3,0,0,'Données projet'!$E$10+1,1))-AVERAGE(OFFSET($H$3,0,0,'Données projet'!$E$10+1,1))</f>
        <v>265.30115826265654</v>
      </c>
      <c r="AO145" s="62">
        <f t="shared" si="144"/>
        <v>187.99130270616999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16.112192198950559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16.112192198950559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5.6843418860808015E-14</v>
      </c>
      <c r="BE145" s="14">
        <f>BD145*VLOOKUP('Données projet'!$B$11,Paramètres!$A$1:$I$89,3,0)*VLOOKUP('Données projet'!$B$11,Paramètres!$A$1:$I$89,5,0)</f>
        <v>6.1186256061773749E-14</v>
      </c>
      <c r="BF145" s="14">
        <f t="shared" si="145"/>
        <v>9.7328366192051127E-13</v>
      </c>
      <c r="BG145" s="22">
        <f t="shared" si="115"/>
        <v>1.8017017738191463E-12</v>
      </c>
      <c r="BH145" s="62">
        <f t="shared" si="116"/>
        <v>285.6951575030609</v>
      </c>
      <c r="BI145" s="62">
        <f ca="1">AVERAGE(OFFSET($BH$3,0,0,'Données projet'!$E$11+1,1))-AVERAGE(OFFSET($H$3,0,0,'Données projet'!$E$11+1,1))</f>
        <v>287.77879820226661</v>
      </c>
      <c r="BJ145" s="62">
        <f t="shared" si="146"/>
        <v>202.51334141855753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17.931310673025624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17.931310673025624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435.66722289172486</v>
      </c>
      <c r="T146" s="62">
        <f t="shared" si="142"/>
        <v>297.32483725004136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68.642472127868672</v>
      </c>
      <c r="AA146" s="23">
        <f>EXP(-LN(2)/25)*AA145+(1-EXP(-LN(2)/25))/(LN(2)/25)*Calculateur!V146*Calculateur!X146*VLOOKUP('Données projet'!$B$9,Paramètres!$A$1:$I$89,3,0)*0.475*44/12</f>
        <v>16.6540621360766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85.296534263945276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5.6843418860808015E-14</v>
      </c>
      <c r="AJ146" s="14">
        <f>AI146*VLOOKUP('Données projet'!$B$10,Paramètres!$A$1:$I$89,3,0)*VLOOKUP('Données projet'!$B$10,Paramètres!$A$1:$I$89,5,0)</f>
        <v>5.4978954722173515E-14</v>
      </c>
      <c r="AK146" s="14">
        <f t="shared" si="143"/>
        <v>8.8550225887742724E-13</v>
      </c>
      <c r="AL146" s="22">
        <f t="shared" si="112"/>
        <v>1.6380047803526383E-12</v>
      </c>
      <c r="AM146" s="62">
        <f t="shared" si="113"/>
        <v>285.82766277731309</v>
      </c>
      <c r="AN146" s="62">
        <f ca="1">AVERAGE(OFFSET($AM$3,0,0,'Données projet'!$E$10+1,1))-AVERAGE(OFFSET($H$3,0,0,'Données projet'!$E$10+1,1))</f>
        <v>265.30115826265654</v>
      </c>
      <c r="AO146" s="62">
        <f t="shared" si="144"/>
        <v>187.99130270616999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15.671603455966894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15.671603455966894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5.6843418860808015E-14</v>
      </c>
      <c r="BE146" s="14">
        <f>BD146*VLOOKUP('Données projet'!$B$11,Paramètres!$A$1:$I$89,3,0)*VLOOKUP('Données projet'!$B$11,Paramètres!$A$1:$I$89,5,0)</f>
        <v>6.1186256061773749E-14</v>
      </c>
      <c r="BF146" s="14">
        <f t="shared" si="145"/>
        <v>9.7328366192051127E-13</v>
      </c>
      <c r="BG146" s="22">
        <f t="shared" si="115"/>
        <v>1.8017017738191463E-12</v>
      </c>
      <c r="BH146" s="62">
        <f t="shared" si="116"/>
        <v>285.82766277731326</v>
      </c>
      <c r="BI146" s="62">
        <f ca="1">AVERAGE(OFFSET($BH$3,0,0,'Données projet'!$E$11+1,1))-AVERAGE(OFFSET($H$3,0,0,'Données projet'!$E$11+1,1))</f>
        <v>287.77879820226661</v>
      </c>
      <c r="BJ146" s="62">
        <f t="shared" si="146"/>
        <v>202.51334141855753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17.440978039705094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17.440978039705094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435.66722289172486</v>
      </c>
      <c r="T147" s="62">
        <f t="shared" si="142"/>
        <v>297.32483725004136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67.296435117215069</v>
      </c>
      <c r="AA147" s="23">
        <f>EXP(-LN(2)/25)*AA146+(1-EXP(-LN(2)/25))/(LN(2)/25)*Calculateur!V147*Calculateur!X147*VLOOKUP('Données projet'!$B$9,Paramètres!$A$1:$I$89,3,0)*0.475*44/12</f>
        <v>16.19865593116652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83.495091048381596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5.6843418860808015E-14</v>
      </c>
      <c r="AJ147" s="14">
        <f>AI147*VLOOKUP('Données projet'!$B$10,Paramètres!$A$1:$I$89,3,0)*VLOOKUP('Données projet'!$B$10,Paramètres!$A$1:$I$89,5,0)</f>
        <v>5.4978954722173515E-14</v>
      </c>
      <c r="AK147" s="14">
        <f t="shared" si="143"/>
        <v>8.8550225887742724E-13</v>
      </c>
      <c r="AL147" s="22">
        <f t="shared" si="112"/>
        <v>1.6380047803526383E-12</v>
      </c>
      <c r="AM147" s="62">
        <f t="shared" si="113"/>
        <v>285.95786938129453</v>
      </c>
      <c r="AN147" s="62">
        <f ca="1">AVERAGE(OFFSET($AM$3,0,0,'Données projet'!$E$10+1,1))-AVERAGE(OFFSET($H$3,0,0,'Données projet'!$E$10+1,1))</f>
        <v>265.30115826265654</v>
      </c>
      <c r="AO147" s="62">
        <f t="shared" si="144"/>
        <v>187.99130270616999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15.243062635329672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15.243062635329672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5.6843418860808015E-14</v>
      </c>
      <c r="BE147" s="14">
        <f>BD147*VLOOKUP('Données projet'!$B$11,Paramètres!$A$1:$I$89,3,0)*VLOOKUP('Données projet'!$B$11,Paramètres!$A$1:$I$89,5,0)</f>
        <v>6.1186256061773749E-14</v>
      </c>
      <c r="BF147" s="14">
        <f t="shared" si="145"/>
        <v>9.7328366192051127E-13</v>
      </c>
      <c r="BG147" s="22">
        <f t="shared" si="115"/>
        <v>1.8017017738191463E-12</v>
      </c>
      <c r="BH147" s="62">
        <f t="shared" si="116"/>
        <v>285.9578693812947</v>
      </c>
      <c r="BI147" s="62">
        <f ca="1">AVERAGE(OFFSET($BH$3,0,0,'Données projet'!$E$11+1,1))-AVERAGE(OFFSET($H$3,0,0,'Données projet'!$E$11+1,1))</f>
        <v>287.77879820226661</v>
      </c>
      <c r="BJ147" s="62">
        <f t="shared" si="146"/>
        <v>202.51334141855753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16.964053578028185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16.964053578028185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435.66722289172486</v>
      </c>
      <c r="T148" s="62">
        <f t="shared" si="142"/>
        <v>297.32483725004136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65.976793071338875</v>
      </c>
      <c r="AA148" s="23">
        <f>EXP(-LN(2)/25)*AA147+(1-EXP(-LN(2)/25))/(LN(2)/25)*Calculateur!V148*Calculateur!X148*VLOOKUP('Données projet'!$B$9,Paramètres!$A$1:$I$89,3,0)*0.475*44/12</f>
        <v>15.755702832878479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81.732495904217359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5.6843418860808015E-14</v>
      </c>
      <c r="AJ148" s="14">
        <f>AI148*VLOOKUP('Données projet'!$B$10,Paramètres!$A$1:$I$89,3,0)*VLOOKUP('Données projet'!$B$10,Paramètres!$A$1:$I$89,5,0)</f>
        <v>5.4978954722173515E-14</v>
      </c>
      <c r="AK148" s="14">
        <f t="shared" si="143"/>
        <v>8.8550225887742724E-13</v>
      </c>
      <c r="AL148" s="22">
        <f t="shared" si="112"/>
        <v>1.6380047803526383E-12</v>
      </c>
      <c r="AM148" s="62">
        <f t="shared" si="113"/>
        <v>286.08581719179523</v>
      </c>
      <c r="AN148" s="62">
        <f ca="1">AVERAGE(OFFSET($AM$3,0,0,'Données projet'!$E$10+1,1))-AVERAGE(OFFSET($H$3,0,0,'Données projet'!$E$10+1,1))</f>
        <v>265.30115826265654</v>
      </c>
      <c r="AO148" s="62">
        <f t="shared" si="144"/>
        <v>187.99130270616999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14.826240285968757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14.826240285968757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5.6843418860808015E-14</v>
      </c>
      <c r="BE148" s="14">
        <f>BD148*VLOOKUP('Données projet'!$B$11,Paramètres!$A$1:$I$89,3,0)*VLOOKUP('Données projet'!$B$11,Paramètres!$A$1:$I$89,5,0)</f>
        <v>6.1186256061773749E-14</v>
      </c>
      <c r="BF148" s="14">
        <f t="shared" si="145"/>
        <v>9.7328366192051127E-13</v>
      </c>
      <c r="BG148" s="22">
        <f t="shared" si="115"/>
        <v>1.8017017738191463E-12</v>
      </c>
      <c r="BH148" s="62">
        <f t="shared" si="116"/>
        <v>286.0858171917954</v>
      </c>
      <c r="BI148" s="62">
        <f ca="1">AVERAGE(OFFSET($BH$3,0,0,'Données projet'!$E$11+1,1))-AVERAGE(OFFSET($H$3,0,0,'Données projet'!$E$11+1,1))</f>
        <v>287.77879820226661</v>
      </c>
      <c r="BJ148" s="62">
        <f t="shared" si="146"/>
        <v>202.51334141855753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16.500170640836199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16.500170640836199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435.66722289172486</v>
      </c>
      <c r="T149" s="62">
        <f t="shared" si="142"/>
        <v>297.32483725004136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64.683028401080136</v>
      </c>
      <c r="AA149" s="23">
        <f>EXP(-LN(2)/25)*AA148+(1-EXP(-LN(2)/25))/(LN(2)/25)*Calculateur!V149*Calculateur!X149*VLOOKUP('Données projet'!$B$9,Paramètres!$A$1:$I$89,3,0)*0.475*44/12</f>
        <v>15.324862310357014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80.007890711437156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5.6843418860808015E-14</v>
      </c>
      <c r="AJ149" s="14">
        <f>AI149*VLOOKUP('Données projet'!$B$10,Paramètres!$A$1:$I$89,3,0)*VLOOKUP('Données projet'!$B$10,Paramètres!$A$1:$I$89,5,0)</f>
        <v>5.4978954722173515E-14</v>
      </c>
      <c r="AK149" s="14">
        <f t="shared" si="143"/>
        <v>8.8550225887742724E-13</v>
      </c>
      <c r="AL149" s="22">
        <f t="shared" si="112"/>
        <v>1.6380047803526383E-12</v>
      </c>
      <c r="AM149" s="62">
        <f t="shared" si="113"/>
        <v>286.2115453938323</v>
      </c>
      <c r="AN149" s="62">
        <f ca="1">AVERAGE(OFFSET($AM$3,0,0,'Données projet'!$E$10+1,1))-AVERAGE(OFFSET($H$3,0,0,'Données projet'!$E$10+1,1))</f>
        <v>265.30115826265654</v>
      </c>
      <c r="AO149" s="62">
        <f t="shared" si="144"/>
        <v>187.99130270616999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14.420815965670849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14.420815965670849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5.6843418860808015E-14</v>
      </c>
      <c r="BE149" s="14">
        <f>BD149*VLOOKUP('Données projet'!$B$11,Paramètres!$A$1:$I$89,3,0)*VLOOKUP('Données projet'!$B$11,Paramètres!$A$1:$I$89,5,0)</f>
        <v>6.1186256061773749E-14</v>
      </c>
      <c r="BF149" s="14">
        <f t="shared" si="145"/>
        <v>9.7328366192051127E-13</v>
      </c>
      <c r="BG149" s="22">
        <f t="shared" si="115"/>
        <v>1.8017017738191463E-12</v>
      </c>
      <c r="BH149" s="62">
        <f t="shared" si="116"/>
        <v>286.21154539383247</v>
      </c>
      <c r="BI149" s="62">
        <f ca="1">AVERAGE(OFFSET($BH$3,0,0,'Données projet'!$E$11+1,1))-AVERAGE(OFFSET($H$3,0,0,'Données projet'!$E$11+1,1))</f>
        <v>287.77879820226661</v>
      </c>
      <c r="BJ149" s="62">
        <f t="shared" si="146"/>
        <v>202.51334141855753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16.048972606956269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16.048972606956269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435.66722289172486</v>
      </c>
      <c r="T150" s="62">
        <f t="shared" si="142"/>
        <v>297.32483725004136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63.414633666886644</v>
      </c>
      <c r="AA150" s="23">
        <f>EXP(-LN(2)/25)*AA149+(1-EXP(-LN(2)/25))/(LN(2)/25)*Calculateur!V150*Calculateur!X150*VLOOKUP('Données projet'!$B$9,Paramètres!$A$1:$I$89,3,0)*0.475*44/12</f>
        <v>14.905803144580819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78.320436811467459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5.6843418860808015E-14</v>
      </c>
      <c r="AJ150" s="14">
        <f>AI150*VLOOKUP('Données projet'!$B$10,Paramètres!$A$1:$I$89,3,0)*VLOOKUP('Données projet'!$B$10,Paramètres!$A$1:$I$89,5,0)</f>
        <v>5.4978954722173515E-14</v>
      </c>
      <c r="AK150" s="14">
        <f t="shared" si="143"/>
        <v>8.8550225887742724E-13</v>
      </c>
      <c r="AL150" s="22">
        <f t="shared" si="112"/>
        <v>1.6380047803526383E-12</v>
      </c>
      <c r="AM150" s="62">
        <f t="shared" si="113"/>
        <v>286.33509249265006</v>
      </c>
      <c r="AN150" s="62">
        <f ca="1">AVERAGE(OFFSET($AM$3,0,0,'Données projet'!$E$10+1,1))-AVERAGE(OFFSET($H$3,0,0,'Données projet'!$E$10+1,1))</f>
        <v>265.30115826265654</v>
      </c>
      <c r="AO150" s="62">
        <f t="shared" si="144"/>
        <v>187.99130270616999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14.026477994731827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14.026477994731827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5.6843418860808015E-14</v>
      </c>
      <c r="BE150" s="14">
        <f>BD150*VLOOKUP('Données projet'!$B$11,Paramètres!$A$1:$I$89,3,0)*VLOOKUP('Données projet'!$B$11,Paramètres!$A$1:$I$89,5,0)</f>
        <v>6.1186256061773749E-14</v>
      </c>
      <c r="BF150" s="14">
        <f t="shared" si="145"/>
        <v>9.7328366192051127E-13</v>
      </c>
      <c r="BG150" s="22">
        <f t="shared" si="115"/>
        <v>1.8017017738191463E-12</v>
      </c>
      <c r="BH150" s="62">
        <f t="shared" si="116"/>
        <v>286.33509249265023</v>
      </c>
      <c r="BI150" s="62">
        <f ca="1">AVERAGE(OFFSET($BH$3,0,0,'Données projet'!$E$11+1,1))-AVERAGE(OFFSET($H$3,0,0,'Données projet'!$E$11+1,1))</f>
        <v>287.77879820226661</v>
      </c>
      <c r="BJ150" s="62">
        <f t="shared" si="146"/>
        <v>202.51334141855753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15.610112607040261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15.610112607040261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435.66722289172486</v>
      </c>
      <c r="T151" s="62">
        <f t="shared" si="142"/>
        <v>297.32483725004136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62.171111379786289</v>
      </c>
      <c r="AA151" s="23">
        <f>EXP(-LN(2)/25)*AA150+(1-EXP(-LN(2)/25))/(LN(2)/25)*Calculateur!V151*Calculateur!X151*VLOOKUP('Données projet'!$B$9,Paramètres!$A$1:$I$89,3,0)*0.475*44/12</f>
        <v>14.498203173730136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76.669314553516429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5.6843418860808015E-14</v>
      </c>
      <c r="AJ151" s="14">
        <f>AI151*VLOOKUP('Données projet'!$B$10,Paramètres!$A$1:$I$89,3,0)*VLOOKUP('Données projet'!$B$10,Paramètres!$A$1:$I$89,5,0)</f>
        <v>5.4978954722173515E-14</v>
      </c>
      <c r="AK151" s="14">
        <f t="shared" si="143"/>
        <v>8.8550225887742724E-13</v>
      </c>
      <c r="AL151" s="22">
        <f t="shared" si="112"/>
        <v>1.6380047803526383E-12</v>
      </c>
      <c r="AM151" s="62">
        <f t="shared" si="113"/>
        <v>286.45649632551334</v>
      </c>
      <c r="AN151" s="62">
        <f ca="1">AVERAGE(OFFSET($AM$3,0,0,'Données projet'!$E$10+1,1))-AVERAGE(OFFSET($H$3,0,0,'Données projet'!$E$10+1,1))</f>
        <v>265.30115826265654</v>
      </c>
      <c r="AO151" s="62">
        <f t="shared" si="144"/>
        <v>187.99130270616999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13.642923216345466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13.642923216345466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5.6843418860808015E-14</v>
      </c>
      <c r="BE151" s="14">
        <f>BD151*VLOOKUP('Données projet'!$B$11,Paramètres!$A$1:$I$89,3,0)*VLOOKUP('Données projet'!$B$11,Paramètres!$A$1:$I$89,5,0)</f>
        <v>6.1186256061773749E-14</v>
      </c>
      <c r="BF151" s="14">
        <f t="shared" si="145"/>
        <v>9.7328366192051127E-13</v>
      </c>
      <c r="BG151" s="22">
        <f t="shared" si="115"/>
        <v>1.8017017738191463E-12</v>
      </c>
      <c r="BH151" s="62">
        <f t="shared" si="116"/>
        <v>286.45649632551351</v>
      </c>
      <c r="BI151" s="62">
        <f ca="1">AVERAGE(OFFSET($BH$3,0,0,'Données projet'!$E$11+1,1))-AVERAGE(OFFSET($H$3,0,0,'Données projet'!$E$11+1,1))</f>
        <v>287.77879820226661</v>
      </c>
      <c r="BJ151" s="62">
        <f t="shared" si="146"/>
        <v>202.51334141855753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15.183253256900601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15.183253256900601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435.66722289172486</v>
      </c>
      <c r="T152" s="62">
        <f t="shared" si="142"/>
        <v>297.32483725004136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60.951973806262274</v>
      </c>
      <c r="AA152" s="23">
        <f>EXP(-LN(2)/25)*AA151+(1-EXP(-LN(2)/25))/(LN(2)/25)*Calculateur!V152*Calculateur!X152*VLOOKUP('Données projet'!$B$9,Paramètres!$A$1:$I$89,3,0)*0.475*44/12</f>
        <v>14.101749045517117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75.053722851779384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5.6843418860808015E-14</v>
      </c>
      <c r="AJ152" s="14">
        <f>AI152*VLOOKUP('Données projet'!$B$10,Paramètres!$A$1:$I$89,3,0)*VLOOKUP('Données projet'!$B$10,Paramètres!$A$1:$I$89,5,0)</f>
        <v>5.4978954722173515E-14</v>
      </c>
      <c r="AK152" s="14">
        <f t="shared" si="143"/>
        <v>8.8550225887742724E-13</v>
      </c>
      <c r="AL152" s="22">
        <f t="shared" si="112"/>
        <v>1.6380047803526383E-12</v>
      </c>
      <c r="AM152" s="62">
        <f t="shared" si="113"/>
        <v>286.57579407329473</v>
      </c>
      <c r="AN152" s="62">
        <f ca="1">AVERAGE(OFFSET($AM$3,0,0,'Données projet'!$E$10+1,1))-AVERAGE(OFFSET($H$3,0,0,'Données projet'!$E$10+1,1))</f>
        <v>265.30115826265654</v>
      </c>
      <c r="AO152" s="62">
        <f t="shared" si="144"/>
        <v>187.99130270616999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13.269856763544349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13.269856763544349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5.6843418860808015E-14</v>
      </c>
      <c r="BE152" s="14">
        <f>BD152*VLOOKUP('Données projet'!$B$11,Paramètres!$A$1:$I$89,3,0)*VLOOKUP('Données projet'!$B$11,Paramètres!$A$1:$I$89,5,0)</f>
        <v>6.1186256061773749E-14</v>
      </c>
      <c r="BF152" s="14">
        <f t="shared" si="145"/>
        <v>9.7328366192051127E-13</v>
      </c>
      <c r="BG152" s="22">
        <f t="shared" si="115"/>
        <v>1.8017017738191463E-12</v>
      </c>
      <c r="BH152" s="62">
        <f t="shared" si="116"/>
        <v>286.5757940732949</v>
      </c>
      <c r="BI152" s="62">
        <f ca="1">AVERAGE(OFFSET($BH$3,0,0,'Données projet'!$E$11+1,1))-AVERAGE(OFFSET($H$3,0,0,'Données projet'!$E$11+1,1))</f>
        <v>287.77879820226661</v>
      </c>
      <c r="BJ152" s="62">
        <f t="shared" si="146"/>
        <v>202.51334141855753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14.768066398138068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14.768066398138068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435.66722289172486</v>
      </c>
      <c r="T153" s="62">
        <f t="shared" si="142"/>
        <v>297.32483725004136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59.756742776954567</v>
      </c>
      <c r="AA153" s="23">
        <f>EXP(-LN(2)/25)*AA152+(1-EXP(-LN(2)/25))/(LN(2)/25)*Calculateur!V153*Calculateur!X153*VLOOKUP('Données projet'!$B$9,Paramètres!$A$1:$I$89,3,0)*0.475*44/12</f>
        <v>13.716135976288699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73.472878753243265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5.6843418860808015E-14</v>
      </c>
      <c r="AJ153" s="14">
        <f>AI153*VLOOKUP('Données projet'!$B$10,Paramètres!$A$1:$I$89,3,0)*VLOOKUP('Données projet'!$B$10,Paramètres!$A$1:$I$89,5,0)</f>
        <v>5.4978954722173515E-14</v>
      </c>
      <c r="AK153" s="14">
        <f t="shared" si="143"/>
        <v>8.8550225887742724E-13</v>
      </c>
      <c r="AL153" s="22">
        <f t="shared" si="112"/>
        <v>1.6380047803526383E-12</v>
      </c>
      <c r="AM153" s="62">
        <f t="shared" si="113"/>
        <v>286.69302227186199</v>
      </c>
      <c r="AN153" s="62">
        <f ca="1">AVERAGE(OFFSET($AM$3,0,0,'Données projet'!$E$10+1,1))-AVERAGE(OFFSET($H$3,0,0,'Données projet'!$E$10+1,1))</f>
        <v>265.30115826265654</v>
      </c>
      <c r="AO153" s="62">
        <f t="shared" si="144"/>
        <v>187.99130270616999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12.906991832513789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12.906991832513789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5.6843418860808015E-14</v>
      </c>
      <c r="BE153" s="14">
        <f>BD153*VLOOKUP('Données projet'!$B$11,Paramètres!$A$1:$I$89,3,0)*VLOOKUP('Données projet'!$B$11,Paramètres!$A$1:$I$89,5,0)</f>
        <v>6.1186256061773749E-14</v>
      </c>
      <c r="BF153" s="14">
        <f t="shared" si="145"/>
        <v>9.7328366192051127E-13</v>
      </c>
      <c r="BG153" s="22">
        <f t="shared" si="115"/>
        <v>1.8017017738191463E-12</v>
      </c>
      <c r="BH153" s="62">
        <f t="shared" si="116"/>
        <v>286.69302227186216</v>
      </c>
      <c r="BI153" s="62">
        <f ca="1">AVERAGE(OFFSET($BH$3,0,0,'Données projet'!$E$11+1,1))-AVERAGE(OFFSET($H$3,0,0,'Données projet'!$E$11+1,1))</f>
        <v>287.77879820226661</v>
      </c>
      <c r="BJ153" s="62">
        <f t="shared" si="146"/>
        <v>202.51334141855753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14.364232845862123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14.364232845862123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435.66722289172486</v>
      </c>
      <c r="T154" s="62">
        <f t="shared" si="142"/>
        <v>297.32483725004136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58.584949499112639</v>
      </c>
      <c r="AA154" s="23">
        <f>EXP(-LN(2)/25)*AA153+(1-EXP(-LN(2)/25))/(LN(2)/25)*Calculateur!V154*Calculateur!X154*VLOOKUP('Données projet'!$B$9,Paramètres!$A$1:$I$89,3,0)*0.475*44/12</f>
        <v>13.341067516716842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71.926017015829487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5.6843418860808015E-14</v>
      </c>
      <c r="AJ154" s="14">
        <f>AI154*VLOOKUP('Données projet'!$B$10,Paramètres!$A$1:$I$89,3,0)*VLOOKUP('Données projet'!$B$10,Paramètres!$A$1:$I$89,5,0)</f>
        <v>5.4978954722173515E-14</v>
      </c>
      <c r="AK154" s="14">
        <f t="shared" ref="AK154:AK203" si="164">EXP(-1.0587+0.8836*LN(AJ154)+0.284)</f>
        <v>8.8550225887742724E-13</v>
      </c>
      <c r="AL154" s="22">
        <f t="shared" ref="AL154:AL203" si="165">(AJ154+AK154)*0.475*44/12</f>
        <v>1.6380047803526383E-12</v>
      </c>
      <c r="AM154" s="62">
        <f t="shared" si="113"/>
        <v>286.808216823267</v>
      </c>
      <c r="AN154" s="62">
        <f ca="1">AVERAGE(OFFSET($AM$3,0,0,'Données projet'!$E$10+1,1))-AVERAGE(OFFSET($H$3,0,0,'Données projet'!$E$10+1,1))</f>
        <v>265.30115826265654</v>
      </c>
      <c r="AO154" s="62">
        <f t="shared" si="144"/>
        <v>187.99130270616999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12.554049462104498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12.554049462104498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5.6843418860808015E-14</v>
      </c>
      <c r="BE154" s="14">
        <f>BD154*VLOOKUP('Données projet'!$B$11,Paramètres!$A$1:$I$89,3,0)*VLOOKUP('Données projet'!$B$11,Paramètres!$A$1:$I$89,5,0)</f>
        <v>6.1186256061773749E-14</v>
      </c>
      <c r="BF154" s="14">
        <f t="shared" ref="BF154:BF203" si="167">EXP(-1.0587+0.8836*LN(BE154)+0.284)</f>
        <v>9.7328366192051127E-13</v>
      </c>
      <c r="BG154" s="22">
        <f t="shared" ref="BG154:BG203" si="168">(BE154+BF154)*0.475*44/12</f>
        <v>1.8017017738191463E-12</v>
      </c>
      <c r="BH154" s="62">
        <f t="shared" si="116"/>
        <v>286.80821682326717</v>
      </c>
      <c r="BI154" s="62">
        <f ca="1">AVERAGE(OFFSET($BH$3,0,0,'Données projet'!$E$11+1,1))-AVERAGE(OFFSET($H$3,0,0,'Données projet'!$E$11+1,1))</f>
        <v>287.77879820226661</v>
      </c>
      <c r="BJ154" s="62">
        <f t="shared" si="146"/>
        <v>202.51334141855753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13.971442143309847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13.971442143309847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435.66722289172486</v>
      </c>
      <c r="T155" s="62">
        <f t="shared" si="142"/>
        <v>297.32483725004136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57.436134372725867</v>
      </c>
      <c r="AA155" s="23">
        <f>EXP(-LN(2)/25)*AA154+(1-EXP(-LN(2)/25))/(LN(2)/25)*Calculateur!V155*Calculateur!X155*VLOOKUP('Données projet'!$B$9,Paramètres!$A$1:$I$89,3,0)*0.475*44/12</f>
        <v>12.976255323895971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70.412389696621844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5.6843418860808015E-14</v>
      </c>
      <c r="AJ155" s="14">
        <f>AI155*VLOOKUP('Données projet'!$B$10,Paramètres!$A$1:$I$89,3,0)*VLOOKUP('Données projet'!$B$10,Paramètres!$A$1:$I$89,5,0)</f>
        <v>5.4978954722173515E-14</v>
      </c>
      <c r="AK155" s="14">
        <f t="shared" si="164"/>
        <v>8.8550225887742724E-13</v>
      </c>
      <c r="AL155" s="22">
        <f t="shared" si="165"/>
        <v>1.6380047803526383E-12</v>
      </c>
      <c r="AM155" s="62">
        <f t="shared" si="113"/>
        <v>286.92141300674155</v>
      </c>
      <c r="AN155" s="62">
        <f ca="1">AVERAGE(OFFSET($AM$3,0,0,'Données projet'!$E$10+1,1))-AVERAGE(OFFSET($H$3,0,0,'Données projet'!$E$10+1,1))</f>
        <v>265.30115826265654</v>
      </c>
      <c r="AO155" s="62">
        <f t="shared" si="144"/>
        <v>187.99130270616999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12.210758319374483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12.210758319374483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5.6843418860808015E-14</v>
      </c>
      <c r="BE155" s="14">
        <f>BD155*VLOOKUP('Données projet'!$B$11,Paramètres!$A$1:$I$89,3,0)*VLOOKUP('Données projet'!$B$11,Paramètres!$A$1:$I$89,5,0)</f>
        <v>6.1186256061773749E-14</v>
      </c>
      <c r="BF155" s="14">
        <f t="shared" si="167"/>
        <v>9.7328366192051127E-13</v>
      </c>
      <c r="BG155" s="22">
        <f t="shared" si="168"/>
        <v>1.8017017738191463E-12</v>
      </c>
      <c r="BH155" s="62">
        <f t="shared" si="116"/>
        <v>286.92141300674172</v>
      </c>
      <c r="BI155" s="62">
        <f ca="1">AVERAGE(OFFSET($BH$3,0,0,'Données projet'!$E$11+1,1))-AVERAGE(OFFSET($H$3,0,0,'Données projet'!$E$11+1,1))</f>
        <v>287.77879820226661</v>
      </c>
      <c r="BJ155" s="62">
        <f t="shared" si="146"/>
        <v>202.51334141855753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13.589392323174829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13.589392323174829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435.66722289172486</v>
      </c>
      <c r="T156" s="62">
        <f t="shared" si="142"/>
        <v>297.32483725004136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56.309846810259501</v>
      </c>
      <c r="AA156" s="23">
        <f>EXP(-LN(2)/25)*AA155+(1-EXP(-LN(2)/25))/(LN(2)/25)*Calculateur!V156*Calculateur!X156*VLOOKUP('Données projet'!$B$9,Paramètres!$A$1:$I$89,3,0)*0.475*44/12</f>
        <v>12.621418939672425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68.931265749931924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5.6843418860808015E-14</v>
      </c>
      <c r="AJ156" s="14">
        <f>AI156*VLOOKUP('Données projet'!$B$10,Paramètres!$A$1:$I$89,3,0)*VLOOKUP('Données projet'!$B$10,Paramètres!$A$1:$I$89,5,0)</f>
        <v>5.4978954722173515E-14</v>
      </c>
      <c r="AK156" s="14">
        <f t="shared" si="164"/>
        <v>8.8550225887742724E-13</v>
      </c>
      <c r="AL156" s="22">
        <f t="shared" si="165"/>
        <v>1.6380047803526383E-12</v>
      </c>
      <c r="AM156" s="62">
        <f t="shared" si="113"/>
        <v>287.03264548950165</v>
      </c>
      <c r="AN156" s="62">
        <f ca="1">AVERAGE(OFFSET($AM$3,0,0,'Données projet'!$E$10+1,1))-AVERAGE(OFFSET($H$3,0,0,'Données projet'!$E$10+1,1))</f>
        <v>265.30115826265654</v>
      </c>
      <c r="AO156" s="62">
        <f t="shared" si="144"/>
        <v>187.99130270616999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11.876854490995315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11.876854490995315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5.6843418860808015E-14</v>
      </c>
      <c r="BE156" s="14">
        <f>BD156*VLOOKUP('Données projet'!$B$11,Paramètres!$A$1:$I$89,3,0)*VLOOKUP('Données projet'!$B$11,Paramètres!$A$1:$I$89,5,0)</f>
        <v>6.1186256061773749E-14</v>
      </c>
      <c r="BF156" s="14">
        <f t="shared" si="167"/>
        <v>9.7328366192051127E-13</v>
      </c>
      <c r="BG156" s="22">
        <f t="shared" si="168"/>
        <v>1.8017017738191463E-12</v>
      </c>
      <c r="BH156" s="62">
        <f t="shared" si="116"/>
        <v>287.03264548950182</v>
      </c>
      <c r="BI156" s="62">
        <f ca="1">AVERAGE(OFFSET($BH$3,0,0,'Données projet'!$E$11+1,1))-AVERAGE(OFFSET($H$3,0,0,'Données projet'!$E$11+1,1))</f>
        <v>287.77879820226661</v>
      </c>
      <c r="BJ156" s="62">
        <f t="shared" si="146"/>
        <v>202.51334141855753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13.21778967546253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13.21778967546253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435.66722289172486</v>
      </c>
      <c r="T157" s="62">
        <f t="shared" si="142"/>
        <v>297.32483725004136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55.205645059925516</v>
      </c>
      <c r="AA157" s="23">
        <f>EXP(-LN(2)/25)*AA156+(1-EXP(-LN(2)/25))/(LN(2)/25)*Calculateur!V157*Calculateur!X157*VLOOKUP('Données projet'!$B$9,Paramètres!$A$1:$I$89,3,0)*0.475*44/12</f>
        <v>12.276285575035507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67.481930634961017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5.6843418860808015E-14</v>
      </c>
      <c r="AJ157" s="14">
        <f>AI157*VLOOKUP('Données projet'!$B$10,Paramètres!$A$1:$I$89,3,0)*VLOOKUP('Données projet'!$B$10,Paramètres!$A$1:$I$89,5,0)</f>
        <v>5.4978954722173515E-14</v>
      </c>
      <c r="AK157" s="14">
        <f t="shared" si="164"/>
        <v>8.8550225887742724E-13</v>
      </c>
      <c r="AL157" s="22">
        <f t="shared" si="165"/>
        <v>1.6380047803526383E-12</v>
      </c>
      <c r="AM157" s="62">
        <f t="shared" si="113"/>
        <v>287.1419483373644</v>
      </c>
      <c r="AN157" s="62">
        <f ca="1">AVERAGE(OFFSET($AM$3,0,0,'Données projet'!$E$10+1,1))-AVERAGE(OFFSET($H$3,0,0,'Données projet'!$E$10+1,1))</f>
        <v>265.30115826265654</v>
      </c>
      <c r="AO157" s="62">
        <f t="shared" si="144"/>
        <v>187.99130270616999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11.552081280362415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11.552081280362415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5.6843418860808015E-14</v>
      </c>
      <c r="BE157" s="14">
        <f>BD157*VLOOKUP('Données projet'!$B$11,Paramètres!$A$1:$I$89,3,0)*VLOOKUP('Données projet'!$B$11,Paramètres!$A$1:$I$89,5,0)</f>
        <v>6.1186256061773749E-14</v>
      </c>
      <c r="BF157" s="14">
        <f t="shared" si="167"/>
        <v>9.7328366192051127E-13</v>
      </c>
      <c r="BG157" s="22">
        <f t="shared" si="168"/>
        <v>1.8017017738191463E-12</v>
      </c>
      <c r="BH157" s="62">
        <f t="shared" si="116"/>
        <v>287.14194833736457</v>
      </c>
      <c r="BI157" s="62">
        <f ca="1">AVERAGE(OFFSET($BH$3,0,0,'Données projet'!$E$11+1,1))-AVERAGE(OFFSET($H$3,0,0,'Données projet'!$E$11+1,1))</f>
        <v>287.77879820226661</v>
      </c>
      <c r="BJ157" s="62">
        <f t="shared" si="146"/>
        <v>202.51334141855753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12.856348521693658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12.856348521693658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435.66722289172486</v>
      </c>
      <c r="T158" s="62">
        <f t="shared" si="142"/>
        <v>297.32483725004136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54.123096032419021</v>
      </c>
      <c r="AA158" s="23">
        <f>EXP(-LN(2)/25)*AA157+(1-EXP(-LN(2)/25))/(LN(2)/25)*Calculateur!V158*Calculateur!X158*VLOOKUP('Données projet'!$B$9,Paramètres!$A$1:$I$89,3,0)*0.475*44/12</f>
        <v>11.94058990040436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66.063685932823375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5.6843418860808015E-14</v>
      </c>
      <c r="AJ158" s="14">
        <f>AI158*VLOOKUP('Données projet'!$B$10,Paramètres!$A$1:$I$89,3,0)*VLOOKUP('Données projet'!$B$10,Paramètres!$A$1:$I$89,5,0)</f>
        <v>5.4978954722173515E-14</v>
      </c>
      <c r="AK158" s="14">
        <f t="shared" si="164"/>
        <v>8.8550225887742724E-13</v>
      </c>
      <c r="AL158" s="22">
        <f t="shared" si="165"/>
        <v>1.6380047803526383E-12</v>
      </c>
      <c r="AM158" s="62">
        <f t="shared" si="113"/>
        <v>287.24935502518133</v>
      </c>
      <c r="AN158" s="62">
        <f ca="1">AVERAGE(OFFSET($AM$3,0,0,'Données projet'!$E$10+1,1))-AVERAGE(OFFSET($H$3,0,0,'Données projet'!$E$10+1,1))</f>
        <v>265.30115826265654</v>
      </c>
      <c r="AO158" s="62">
        <f t="shared" si="144"/>
        <v>187.99130270616999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11.236189010253353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11.236189010253353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5.6843418860808015E-14</v>
      </c>
      <c r="BE158" s="14">
        <f>BD158*VLOOKUP('Données projet'!$B$11,Paramètres!$A$1:$I$89,3,0)*VLOOKUP('Données projet'!$B$11,Paramètres!$A$1:$I$89,5,0)</f>
        <v>6.1186256061773749E-14</v>
      </c>
      <c r="BF158" s="14">
        <f t="shared" si="167"/>
        <v>9.7328366192051127E-13</v>
      </c>
      <c r="BG158" s="22">
        <f t="shared" si="168"/>
        <v>1.8017017738191463E-12</v>
      </c>
      <c r="BH158" s="62">
        <f t="shared" si="116"/>
        <v>287.2493550251815</v>
      </c>
      <c r="BI158" s="62">
        <f ca="1">AVERAGE(OFFSET($BH$3,0,0,'Données projet'!$E$11+1,1))-AVERAGE(OFFSET($H$3,0,0,'Données projet'!$E$11+1,1))</f>
        <v>287.77879820226661</v>
      </c>
      <c r="BJ158" s="62">
        <f t="shared" si="146"/>
        <v>202.51334141855753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12.50479099528196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12.50479099528196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435.66722289172486</v>
      </c>
      <c r="T159" s="62">
        <f t="shared" si="142"/>
        <v>297.32483725004136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53.061775131052215</v>
      </c>
      <c r="AA159" s="23">
        <f>EXP(-LN(2)/25)*AA158+(1-EXP(-LN(2)/25))/(LN(2)/25)*Calculateur!V159*Calculateur!X159*VLOOKUP('Données projet'!$B$9,Paramètres!$A$1:$I$89,3,0)*0.475*44/12</f>
        <v>11.614073841649471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64.675848972701687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5.6843418860808015E-14</v>
      </c>
      <c r="AJ159" s="14">
        <f>AI159*VLOOKUP('Données projet'!$B$10,Paramètres!$A$1:$I$89,3,0)*VLOOKUP('Données projet'!$B$10,Paramètres!$A$1:$I$89,5,0)</f>
        <v>5.4978954722173515E-14</v>
      </c>
      <c r="AK159" s="14">
        <f t="shared" si="164"/>
        <v>8.8550225887742724E-13</v>
      </c>
      <c r="AL159" s="22">
        <f t="shared" si="165"/>
        <v>1.6380047803526383E-12</v>
      </c>
      <c r="AM159" s="62">
        <f t="shared" si="113"/>
        <v>287.35489844708997</v>
      </c>
      <c r="AN159" s="62">
        <f ca="1">AVERAGE(OFFSET($AM$3,0,0,'Données projet'!$E$10+1,1))-AVERAGE(OFFSET($H$3,0,0,'Données projet'!$E$10+1,1))</f>
        <v>265.30115826265654</v>
      </c>
      <c r="AO159" s="62">
        <f t="shared" si="144"/>
        <v>187.99130270616999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10.928934830882476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10.928934830882476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5.6843418860808015E-14</v>
      </c>
      <c r="BE159" s="14">
        <f>BD159*VLOOKUP('Données projet'!$B$11,Paramètres!$A$1:$I$89,3,0)*VLOOKUP('Données projet'!$B$11,Paramètres!$A$1:$I$89,5,0)</f>
        <v>6.1186256061773749E-14</v>
      </c>
      <c r="BF159" s="14">
        <f t="shared" si="167"/>
        <v>9.7328366192051127E-13</v>
      </c>
      <c r="BG159" s="22">
        <f t="shared" si="168"/>
        <v>1.8017017738191463E-12</v>
      </c>
      <c r="BH159" s="62">
        <f t="shared" si="116"/>
        <v>287.35489844709014</v>
      </c>
      <c r="BI159" s="62">
        <f ca="1">AVERAGE(OFFSET($BH$3,0,0,'Données projet'!$E$11+1,1))-AVERAGE(OFFSET($H$3,0,0,'Données projet'!$E$11+1,1))</f>
        <v>287.77879820226661</v>
      </c>
      <c r="BJ159" s="62">
        <f t="shared" si="146"/>
        <v>202.51334141855753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12.162846827917596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12.162846827917596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435.66722289172486</v>
      </c>
      <c r="T160" s="62">
        <f t="shared" si="142"/>
        <v>297.32483725004136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52.021266085219381</v>
      </c>
      <c r="AA160" s="23">
        <f>EXP(-LN(2)/25)*AA159+(1-EXP(-LN(2)/25))/(LN(2)/25)*Calculateur!V160*Calculateur!X160*VLOOKUP('Données projet'!$B$9,Paramètres!$A$1:$I$89,3,0)*0.475*44/12</f>
        <v>11.296486381691967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63.317752466911344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5.6843418860808015E-14</v>
      </c>
      <c r="AJ160" s="14">
        <f>AI160*VLOOKUP('Données projet'!$B$10,Paramètres!$A$1:$I$89,3,0)*VLOOKUP('Données projet'!$B$10,Paramètres!$A$1:$I$89,5,0)</f>
        <v>5.4978954722173515E-14</v>
      </c>
      <c r="AK160" s="14">
        <f t="shared" si="164"/>
        <v>8.8550225887742724E-13</v>
      </c>
      <c r="AL160" s="22">
        <f t="shared" si="165"/>
        <v>1.6380047803526383E-12</v>
      </c>
      <c r="AM160" s="62">
        <f t="shared" si="113"/>
        <v>287.45861092658822</v>
      </c>
      <c r="AN160" s="62">
        <f ca="1">AVERAGE(OFFSET($AM$3,0,0,'Données projet'!$E$10+1,1))-AVERAGE(OFFSET($H$3,0,0,'Données projet'!$E$10+1,1))</f>
        <v>265.30115826265654</v>
      </c>
      <c r="AO160" s="62">
        <f t="shared" si="144"/>
        <v>187.99130270616999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10.630082533204289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10.630082533204289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5.6843418860808015E-14</v>
      </c>
      <c r="BE160" s="14">
        <f>BD160*VLOOKUP('Données projet'!$B$11,Paramètres!$A$1:$I$89,3,0)*VLOOKUP('Données projet'!$B$11,Paramètres!$A$1:$I$89,5,0)</f>
        <v>6.1186256061773749E-14</v>
      </c>
      <c r="BF160" s="14">
        <f t="shared" si="167"/>
        <v>9.7328366192051127E-13</v>
      </c>
      <c r="BG160" s="22">
        <f t="shared" si="168"/>
        <v>1.8017017738191463E-12</v>
      </c>
      <c r="BH160" s="62">
        <f t="shared" si="116"/>
        <v>287.45861092658839</v>
      </c>
      <c r="BI160" s="62">
        <f ca="1">AVERAGE(OFFSET($BH$3,0,0,'Données projet'!$E$11+1,1))-AVERAGE(OFFSET($H$3,0,0,'Données projet'!$E$11+1,1))</f>
        <v>287.77879820226661</v>
      </c>
      <c r="BJ160" s="62">
        <f t="shared" si="146"/>
        <v>202.51334141855753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11.830253141791873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11.830253141791873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435.66722289172486</v>
      </c>
      <c r="T161" s="62">
        <f t="shared" si="142"/>
        <v>297.32483725004136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51.001160787127482</v>
      </c>
      <c r="AA161" s="23">
        <f>EXP(-LN(2)/25)*AA160+(1-EXP(-LN(2)/25))/(LN(2)/25)*Calculateur!V161*Calculateur!X161*VLOOKUP('Données projet'!$B$9,Paramètres!$A$1:$I$89,3,0)*0.475*44/12</f>
        <v>10.987583367528199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61.988744154655677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5.6843418860808015E-14</v>
      </c>
      <c r="AJ161" s="14">
        <f>AI161*VLOOKUP('Données projet'!$B$10,Paramètres!$A$1:$I$89,3,0)*VLOOKUP('Données projet'!$B$10,Paramètres!$A$1:$I$89,5,0)</f>
        <v>5.4978954722173515E-14</v>
      </c>
      <c r="AK161" s="14">
        <f t="shared" si="164"/>
        <v>8.8550225887742724E-13</v>
      </c>
      <c r="AL161" s="22">
        <f t="shared" si="165"/>
        <v>1.6380047803526383E-12</v>
      </c>
      <c r="AM161" s="62">
        <f t="shared" si="113"/>
        <v>287.56052422643364</v>
      </c>
      <c r="AN161" s="62">
        <f ca="1">AVERAGE(OFFSET($AM$3,0,0,'Données projet'!$E$10+1,1))-AVERAGE(OFFSET($H$3,0,0,'Données projet'!$E$10+1,1))</f>
        <v>265.30115826265654</v>
      </c>
      <c r="AO161" s="62">
        <f t="shared" si="144"/>
        <v>187.99130270616999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10.339402367322073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10.339402367322073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5.6843418860808015E-14</v>
      </c>
      <c r="BE161" s="14">
        <f>BD161*VLOOKUP('Données projet'!$B$11,Paramètres!$A$1:$I$89,3,0)*VLOOKUP('Données projet'!$B$11,Paramètres!$A$1:$I$89,5,0)</f>
        <v>6.1186256061773749E-14</v>
      </c>
      <c r="BF161" s="14">
        <f t="shared" si="167"/>
        <v>9.7328366192051127E-13</v>
      </c>
      <c r="BG161" s="22">
        <f t="shared" si="168"/>
        <v>1.8017017738191463E-12</v>
      </c>
      <c r="BH161" s="62">
        <f t="shared" si="116"/>
        <v>287.56052422643381</v>
      </c>
      <c r="BI161" s="62">
        <f ca="1">AVERAGE(OFFSET($BH$3,0,0,'Données projet'!$E$11+1,1))-AVERAGE(OFFSET($H$3,0,0,'Données projet'!$E$11+1,1))</f>
        <v>287.77879820226661</v>
      </c>
      <c r="BJ161" s="62">
        <f t="shared" si="146"/>
        <v>202.51334141855753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11.506754247503601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11.506754247503601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435.66722289172486</v>
      </c>
      <c r="T162" s="62">
        <f t="shared" si="142"/>
        <v>297.32483725004136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50.001059131728368</v>
      </c>
      <c r="AA162" s="23">
        <f>EXP(-LN(2)/25)*AA161+(1-EXP(-LN(2)/25))/(LN(2)/25)*Calculateur!V162*Calculateur!X162*VLOOKUP('Données projet'!$B$9,Paramètres!$A$1:$I$89,3,0)*0.475*44/12</f>
        <v>10.687127322531243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60.688186454259608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5.6843418860808015E-14</v>
      </c>
      <c r="AJ162" s="14">
        <f>AI162*VLOOKUP('Données projet'!$B$10,Paramètres!$A$1:$I$89,3,0)*VLOOKUP('Données projet'!$B$10,Paramètres!$A$1:$I$89,5,0)</f>
        <v>5.4978954722173515E-14</v>
      </c>
      <c r="AK162" s="14">
        <f t="shared" si="164"/>
        <v>8.8550225887742724E-13</v>
      </c>
      <c r="AL162" s="22">
        <f t="shared" si="165"/>
        <v>1.6380047803526383E-12</v>
      </c>
      <c r="AM162" s="62">
        <f t="shared" si="113"/>
        <v>287.66066955837061</v>
      </c>
      <c r="AN162" s="62">
        <f ca="1">AVERAGE(OFFSET($AM$3,0,0,'Données projet'!$E$10+1,1))-AVERAGE(OFFSET($H$3,0,0,'Données projet'!$E$10+1,1))</f>
        <v>265.30115826265654</v>
      </c>
      <c r="AO162" s="62">
        <f t="shared" si="144"/>
        <v>187.99130270616999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10.056670865862111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10.056670865862111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5.6843418860808015E-14</v>
      </c>
      <c r="BE162" s="14">
        <f>BD162*VLOOKUP('Données projet'!$B$11,Paramètres!$A$1:$I$89,3,0)*VLOOKUP('Données projet'!$B$11,Paramètres!$A$1:$I$89,5,0)</f>
        <v>6.1186256061773749E-14</v>
      </c>
      <c r="BF162" s="14">
        <f t="shared" si="167"/>
        <v>9.7328366192051127E-13</v>
      </c>
      <c r="BG162" s="22">
        <f t="shared" si="168"/>
        <v>1.8017017738191463E-12</v>
      </c>
      <c r="BH162" s="62">
        <f t="shared" si="116"/>
        <v>287.66066955837078</v>
      </c>
      <c r="BI162" s="62">
        <f ca="1">AVERAGE(OFFSET($BH$3,0,0,'Données projet'!$E$11+1,1))-AVERAGE(OFFSET($H$3,0,0,'Données projet'!$E$11+1,1))</f>
        <v>287.77879820226661</v>
      </c>
      <c r="BJ162" s="62">
        <f t="shared" si="146"/>
        <v>202.51334141855753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11.192101447491709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11.192101447491709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435.66722289172486</v>
      </c>
      <c r="T163" s="62">
        <f t="shared" si="142"/>
        <v>297.32483725004136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49.020568859789854</v>
      </c>
      <c r="AA163" s="23">
        <f>EXP(-LN(2)/25)*AA162+(1-EXP(-LN(2)/25))/(LN(2)/25)*Calculateur!V163*Calculateur!X163*VLOOKUP('Données projet'!$B$9,Paramètres!$A$1:$I$89,3,0)*0.475*44/12</f>
        <v>10.394887263885026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59.415456123674879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5.6843418860808015E-14</v>
      </c>
      <c r="AJ163" s="14">
        <f>AI163*VLOOKUP('Données projet'!$B$10,Paramètres!$A$1:$I$89,3,0)*VLOOKUP('Données projet'!$B$10,Paramètres!$A$1:$I$89,5,0)</f>
        <v>5.4978954722173515E-14</v>
      </c>
      <c r="AK163" s="14">
        <f t="shared" si="164"/>
        <v>8.8550225887742724E-13</v>
      </c>
      <c r="AL163" s="22">
        <f t="shared" si="165"/>
        <v>1.6380047803526383E-12</v>
      </c>
      <c r="AM163" s="62">
        <f t="shared" si="113"/>
        <v>287.75907759269001</v>
      </c>
      <c r="AN163" s="62">
        <f ca="1">AVERAGE(OFFSET($AM$3,0,0,'Données projet'!$E$10+1,1))-AVERAGE(OFFSET($H$3,0,0,'Données projet'!$E$10+1,1))</f>
        <v>265.30115826265654</v>
      </c>
      <c r="AO163" s="62">
        <f t="shared" si="144"/>
        <v>187.99130270616999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9.7816706721777766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9.7816706721777766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5.6843418860808015E-14</v>
      </c>
      <c r="BE163" s="14">
        <f>BD163*VLOOKUP('Données projet'!$B$11,Paramètres!$A$1:$I$89,3,0)*VLOOKUP('Données projet'!$B$11,Paramètres!$A$1:$I$89,5,0)</f>
        <v>6.1186256061773749E-14</v>
      </c>
      <c r="BF163" s="14">
        <f t="shared" si="167"/>
        <v>9.7328366192051127E-13</v>
      </c>
      <c r="BG163" s="22">
        <f t="shared" si="168"/>
        <v>1.8017017738191463E-12</v>
      </c>
      <c r="BH163" s="62">
        <f t="shared" si="116"/>
        <v>287.75907759269018</v>
      </c>
      <c r="BI163" s="62">
        <f ca="1">AVERAGE(OFFSET($BH$3,0,0,'Données projet'!$E$11+1,1))-AVERAGE(OFFSET($H$3,0,0,'Données projet'!$E$11+1,1))</f>
        <v>287.77879820226661</v>
      </c>
      <c r="BJ163" s="62">
        <f t="shared" si="146"/>
        <v>202.51334141855753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10.886052844843013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10.886052844843013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435.66722289172486</v>
      </c>
      <c r="T164" s="62">
        <f t="shared" si="142"/>
        <v>297.32483725004136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48.059305404044039</v>
      </c>
      <c r="AA164" s="23">
        <f>EXP(-LN(2)/25)*AA163+(1-EXP(-LN(2)/25))/(LN(2)/25)*Calculateur!V164*Calculateur!X164*VLOOKUP('Données projet'!$B$9,Paramètres!$A$1:$I$89,3,0)*0.475*44/12</f>
        <v>10.110638525010726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58.169943929054767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5.6843418860808015E-14</v>
      </c>
      <c r="AJ164" s="14">
        <f>AI164*VLOOKUP('Données projet'!$B$10,Paramètres!$A$1:$I$89,3,0)*VLOOKUP('Données projet'!$B$10,Paramètres!$A$1:$I$89,5,0)</f>
        <v>5.4978954722173515E-14</v>
      </c>
      <c r="AK164" s="14">
        <f t="shared" si="164"/>
        <v>8.8550225887742724E-13</v>
      </c>
      <c r="AL164" s="22">
        <f t="shared" si="165"/>
        <v>1.6380047803526383E-12</v>
      </c>
      <c r="AM164" s="62">
        <f t="shared" si="113"/>
        <v>287.85577846762135</v>
      </c>
      <c r="AN164" s="62">
        <f ca="1">AVERAGE(OFFSET($AM$3,0,0,'Données projet'!$E$10+1,1))-AVERAGE(OFFSET($H$3,0,0,'Données projet'!$E$10+1,1))</f>
        <v>265.30115826265654</v>
      </c>
      <c r="AO164" s="62">
        <f t="shared" si="144"/>
        <v>187.99130270616999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9.5141903732513704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9.5141903732513704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5.6843418860808015E-14</v>
      </c>
      <c r="BE164" s="14">
        <f>BD164*VLOOKUP('Données projet'!$B$11,Paramètres!$A$1:$I$89,3,0)*VLOOKUP('Données projet'!$B$11,Paramètres!$A$1:$I$89,5,0)</f>
        <v>6.1186256061773749E-14</v>
      </c>
      <c r="BF164" s="14">
        <f t="shared" si="167"/>
        <v>9.7328366192051127E-13</v>
      </c>
      <c r="BG164" s="22">
        <f t="shared" si="168"/>
        <v>1.8017017738191463E-12</v>
      </c>
      <c r="BH164" s="62">
        <f t="shared" si="116"/>
        <v>287.85577846762152</v>
      </c>
      <c r="BI164" s="62">
        <f ca="1">AVERAGE(OFFSET($BH$3,0,0,'Données projet'!$E$11+1,1))-AVERAGE(OFFSET($H$3,0,0,'Données projet'!$E$11+1,1))</f>
        <v>287.77879820226661</v>
      </c>
      <c r="BJ164" s="62">
        <f t="shared" si="146"/>
        <v>202.51334141855753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10.588373157328142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10.588373157328142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435.66722289172486</v>
      </c>
      <c r="T165" s="62">
        <f t="shared" si="142"/>
        <v>297.32483725004136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47.116891738352585</v>
      </c>
      <c r="AA165" s="23">
        <f>EXP(-LN(2)/25)*AA164+(1-EXP(-LN(2)/25))/(LN(2)/25)*Calculateur!V165*Calculateur!X165*VLOOKUP('Données projet'!$B$9,Paramètres!$A$1:$I$89,3,0)*0.475*44/12</f>
        <v>9.8341625828489363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56.951054321201525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5.6843418860808015E-14</v>
      </c>
      <c r="AJ165" s="14">
        <f>AI165*VLOOKUP('Données projet'!$B$10,Paramètres!$A$1:$I$89,3,0)*VLOOKUP('Données projet'!$B$10,Paramètres!$A$1:$I$89,5,0)</f>
        <v>5.4978954722173515E-14</v>
      </c>
      <c r="AK165" s="14">
        <f t="shared" si="164"/>
        <v>8.8550225887742724E-13</v>
      </c>
      <c r="AL165" s="22">
        <f t="shared" si="165"/>
        <v>1.6380047803526383E-12</v>
      </c>
      <c r="AM165" s="62">
        <f t="shared" si="113"/>
        <v>287.95080179856336</v>
      </c>
      <c r="AN165" s="62">
        <f ca="1">AVERAGE(OFFSET($AM$3,0,0,'Données projet'!$E$10+1,1))-AVERAGE(OFFSET($H$3,0,0,'Données projet'!$E$10+1,1))</f>
        <v>265.30115826265654</v>
      </c>
      <c r="AO165" s="62">
        <f t="shared" si="144"/>
        <v>187.99130270616999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9.2540243371652853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9.2540243371652853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5.6843418860808015E-14</v>
      </c>
      <c r="BE165" s="14">
        <f>BD165*VLOOKUP('Données projet'!$B$11,Paramètres!$A$1:$I$89,3,0)*VLOOKUP('Données projet'!$B$11,Paramètres!$A$1:$I$89,5,0)</f>
        <v>6.1186256061773749E-14</v>
      </c>
      <c r="BF165" s="14">
        <f t="shared" si="167"/>
        <v>9.7328366192051127E-13</v>
      </c>
      <c r="BG165" s="22">
        <f t="shared" si="168"/>
        <v>1.8017017738191463E-12</v>
      </c>
      <c r="BH165" s="62">
        <f t="shared" si="116"/>
        <v>287.95080179856353</v>
      </c>
      <c r="BI165" s="62">
        <f ca="1">AVERAGE(OFFSET($BH$3,0,0,'Données projet'!$E$11+1,1))-AVERAGE(OFFSET($H$3,0,0,'Données projet'!$E$11+1,1))</f>
        <v>287.77879820226661</v>
      </c>
      <c r="BJ165" s="62">
        <f t="shared" si="146"/>
        <v>202.51334141855753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10.298833536522659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10.298833536522659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435.66722289172486</v>
      </c>
      <c r="T166" s="62">
        <f t="shared" si="142"/>
        <v>297.32483725004136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46.192958229829763</v>
      </c>
      <c r="AA166" s="23">
        <f>EXP(-LN(2)/25)*AA165+(1-EXP(-LN(2)/25))/(LN(2)/25)*Calculateur!V166*Calculateur!X166*VLOOKUP('Données projet'!$B$9,Paramètres!$A$1:$I$89,3,0)*0.475*44/12</f>
        <v>9.5652468898647989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55.758205119694566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5.6843418860808015E-14</v>
      </c>
      <c r="AJ166" s="14">
        <f>AI166*VLOOKUP('Données projet'!$B$10,Paramètres!$A$1:$I$89,3,0)*VLOOKUP('Données projet'!$B$10,Paramètres!$A$1:$I$89,5,0)</f>
        <v>5.4978954722173515E-14</v>
      </c>
      <c r="AK166" s="14">
        <f t="shared" si="164"/>
        <v>8.8550225887742724E-13</v>
      </c>
      <c r="AL166" s="22">
        <f t="shared" si="165"/>
        <v>1.6380047803526383E-12</v>
      </c>
      <c r="AM166" s="62">
        <f t="shared" si="113"/>
        <v>288.04417668715388</v>
      </c>
      <c r="AN166" s="62">
        <f ca="1">AVERAGE(OFFSET($AM$3,0,0,'Données projet'!$E$10+1,1))-AVERAGE(OFFSET($H$3,0,0,'Données projet'!$E$10+1,1))</f>
        <v>265.30115826265654</v>
      </c>
      <c r="AO166" s="62">
        <f t="shared" si="144"/>
        <v>187.99130270616999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9.0009725550175101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9.0009725550175101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5.6843418860808015E-14</v>
      </c>
      <c r="BE166" s="14">
        <f>BD166*VLOOKUP('Données projet'!$B$11,Paramètres!$A$1:$I$89,3,0)*VLOOKUP('Données projet'!$B$11,Paramètres!$A$1:$I$89,5,0)</f>
        <v>6.1186256061773749E-14</v>
      </c>
      <c r="BF166" s="14">
        <f t="shared" si="167"/>
        <v>9.7328366192051127E-13</v>
      </c>
      <c r="BG166" s="22">
        <f t="shared" si="168"/>
        <v>1.8017017738191463E-12</v>
      </c>
      <c r="BH166" s="62">
        <f t="shared" si="116"/>
        <v>288.04417668715405</v>
      </c>
      <c r="BI166" s="62">
        <f ca="1">AVERAGE(OFFSET($BH$3,0,0,'Données projet'!$E$11+1,1))-AVERAGE(OFFSET($H$3,0,0,'Données projet'!$E$11+1,1))</f>
        <v>287.77879820226661</v>
      </c>
      <c r="BJ166" s="62">
        <f t="shared" si="146"/>
        <v>202.51334141855753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10.01721139187433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10.01721139187433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435.66722289172486</v>
      </c>
      <c r="T167" s="62">
        <f t="shared" si="142"/>
        <v>297.32483725004136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45.287142493865282</v>
      </c>
      <c r="AA167" s="23">
        <f>EXP(-LN(2)/25)*AA166+(1-EXP(-LN(2)/25))/(LN(2)/25)*Calculateur!V167*Calculateur!X167*VLOOKUP('Données projet'!$B$9,Paramètres!$A$1:$I$89,3,0)*0.475*44/12</f>
        <v>9.3036847106469729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54.590827204512252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5.6843418860808015E-14</v>
      </c>
      <c r="AJ167" s="14">
        <f>AI167*VLOOKUP('Données projet'!$B$10,Paramètres!$A$1:$I$89,3,0)*VLOOKUP('Données projet'!$B$10,Paramètres!$A$1:$I$89,5,0)</f>
        <v>5.4978954722173515E-14</v>
      </c>
      <c r="AK167" s="14">
        <f t="shared" si="164"/>
        <v>8.8550225887742724E-13</v>
      </c>
      <c r="AL167" s="22">
        <f t="shared" si="165"/>
        <v>1.6380047803526383E-12</v>
      </c>
      <c r="AM167" s="62">
        <f t="shared" si="113"/>
        <v>288.13593173018234</v>
      </c>
      <c r="AN167" s="62">
        <f ca="1">AVERAGE(OFFSET($AM$3,0,0,'Données projet'!$E$10+1,1))-AVERAGE(OFFSET($H$3,0,0,'Données projet'!$E$10+1,1))</f>
        <v>265.30115826265654</v>
      </c>
      <c r="AO167" s="62">
        <f t="shared" si="144"/>
        <v>187.99130270616999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8.7548404871599814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8.7548404871599814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5.6843418860808015E-14</v>
      </c>
      <c r="BE167" s="14">
        <f>BD167*VLOOKUP('Données projet'!$B$11,Paramètres!$A$1:$I$89,3,0)*VLOOKUP('Données projet'!$B$11,Paramètres!$A$1:$I$89,5,0)</f>
        <v>6.1186256061773749E-14</v>
      </c>
      <c r="BF167" s="14">
        <f t="shared" si="167"/>
        <v>9.7328366192051127E-13</v>
      </c>
      <c r="BG167" s="22">
        <f t="shared" si="168"/>
        <v>1.8017017738191463E-12</v>
      </c>
      <c r="BH167" s="62">
        <f t="shared" si="116"/>
        <v>288.13593173018251</v>
      </c>
      <c r="BI167" s="62">
        <f ca="1">AVERAGE(OFFSET($BH$3,0,0,'Données projet'!$E$11+1,1))-AVERAGE(OFFSET($H$3,0,0,'Données projet'!$E$11+1,1))</f>
        <v>287.77879820226661</v>
      </c>
      <c r="BJ167" s="62">
        <f t="shared" si="146"/>
        <v>202.51334141855753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9.7432902195812741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9.7432902195812741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435.66722289172486</v>
      </c>
      <c r="T168" s="62">
        <f t="shared" si="142"/>
        <v>297.32483725004136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44.39908925199002</v>
      </c>
      <c r="AA168" s="23">
        <f>EXP(-LN(2)/25)*AA167+(1-EXP(-LN(2)/25))/(LN(2)/25)*Calculateur!V168*Calculateur!X168*VLOOKUP('Données projet'!$B$9,Paramètres!$A$1:$I$89,3,0)*0.475*44/12</f>
        <v>9.0492749629748168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53.44836421496484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5.6843418860808015E-14</v>
      </c>
      <c r="AJ168" s="14">
        <f>AI168*VLOOKUP('Données projet'!$B$10,Paramètres!$A$1:$I$89,3,0)*VLOOKUP('Données projet'!$B$10,Paramètres!$A$1:$I$89,5,0)</f>
        <v>5.4978954722173515E-14</v>
      </c>
      <c r="AK168" s="14">
        <f t="shared" si="164"/>
        <v>8.8550225887742724E-13</v>
      </c>
      <c r="AL168" s="22">
        <f t="shared" si="165"/>
        <v>1.6380047803526383E-12</v>
      </c>
      <c r="AM168" s="62">
        <f t="shared" si="113"/>
        <v>288.2260950283478</v>
      </c>
      <c r="AN168" s="62">
        <f ca="1">AVERAGE(OFFSET($AM$3,0,0,'Données projet'!$E$10+1,1))-AVERAGE(OFFSET($H$3,0,0,'Données projet'!$E$10+1,1))</f>
        <v>265.30115826265654</v>
      </c>
      <c r="AO168" s="62">
        <f t="shared" si="144"/>
        <v>187.99130270616999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8.5154389136415407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8.5154389136415407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5.6843418860808015E-14</v>
      </c>
      <c r="BE168" s="14">
        <f>BD168*VLOOKUP('Données projet'!$B$11,Paramètres!$A$1:$I$89,3,0)*VLOOKUP('Données projet'!$B$11,Paramètres!$A$1:$I$89,5,0)</f>
        <v>6.1186256061773749E-14</v>
      </c>
      <c r="BF168" s="14">
        <f t="shared" si="167"/>
        <v>9.7328366192051127E-13</v>
      </c>
      <c r="BG168" s="22">
        <f t="shared" si="168"/>
        <v>1.8017017738191463E-12</v>
      </c>
      <c r="BH168" s="62">
        <f t="shared" si="116"/>
        <v>288.22609502834797</v>
      </c>
      <c r="BI168" s="62">
        <f ca="1">AVERAGE(OFFSET($BH$3,0,0,'Données projet'!$E$11+1,1))-AVERAGE(OFFSET($H$3,0,0,'Données projet'!$E$11+1,1))</f>
        <v>287.77879820226661</v>
      </c>
      <c r="BJ168" s="62">
        <f t="shared" si="146"/>
        <v>202.51334141855753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9.4768594361494607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9.4768594361494607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435.66722289172486</v>
      </c>
      <c r="T169" s="62">
        <f t="shared" si="142"/>
        <v>297.32483725004136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43.528450192528936</v>
      </c>
      <c r="AA169" s="23">
        <f>EXP(-LN(2)/25)*AA168+(1-EXP(-LN(2)/25))/(LN(2)/25)*Calculateur!V169*Calculateur!X169*VLOOKUP('Données projet'!$B$9,Paramètres!$A$1:$I$89,3,0)*0.475*44/12</f>
        <v>8.8018220632315831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52.330272255760519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5.6843418860808015E-14</v>
      </c>
      <c r="AJ169" s="14">
        <f>AI169*VLOOKUP('Données projet'!$B$10,Paramètres!$A$1:$I$89,3,0)*VLOOKUP('Données projet'!$B$10,Paramètres!$A$1:$I$89,5,0)</f>
        <v>5.4978954722173515E-14</v>
      </c>
      <c r="AK169" s="14">
        <f t="shared" si="164"/>
        <v>8.8550225887742724E-13</v>
      </c>
      <c r="AL169" s="22">
        <f t="shared" si="165"/>
        <v>1.6380047803526383E-12</v>
      </c>
      <c r="AM169" s="62">
        <f t="shared" si="113"/>
        <v>288.31469419486507</v>
      </c>
      <c r="AN169" s="62">
        <f ca="1">AVERAGE(OFFSET($AM$3,0,0,'Données projet'!$E$10+1,1))-AVERAGE(OFFSET($H$3,0,0,'Données projet'!$E$10+1,1))</f>
        <v>265.30115826265654</v>
      </c>
      <c r="AO169" s="62">
        <f t="shared" si="144"/>
        <v>187.99130270616999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8.282583788740542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8.282583788740542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5.6843418860808015E-14</v>
      </c>
      <c r="BE169" s="14">
        <f>BD169*VLOOKUP('Données projet'!$B$11,Paramètres!$A$1:$I$89,3,0)*VLOOKUP('Données projet'!$B$11,Paramètres!$A$1:$I$89,5,0)</f>
        <v>6.1186256061773749E-14</v>
      </c>
      <c r="BF169" s="14">
        <f t="shared" si="167"/>
        <v>9.7328366192051127E-13</v>
      </c>
      <c r="BG169" s="22">
        <f t="shared" si="168"/>
        <v>1.8017017738191463E-12</v>
      </c>
      <c r="BH169" s="62">
        <f t="shared" si="116"/>
        <v>288.31469419486524</v>
      </c>
      <c r="BI169" s="62">
        <f ca="1">AVERAGE(OFFSET($BH$3,0,0,'Données projet'!$E$11+1,1))-AVERAGE(OFFSET($H$3,0,0,'Données projet'!$E$11+1,1))</f>
        <v>287.77879820226661</v>
      </c>
      <c r="BJ169" s="62">
        <f t="shared" si="146"/>
        <v>202.51334141855753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9.2177142165015749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9.2177142165015749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435.66722289172486</v>
      </c>
      <c r="T170" s="62">
        <f t="shared" si="142"/>
        <v>297.32483725004136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42.674883833986492</v>
      </c>
      <c r="AA170" s="23">
        <f>EXP(-LN(2)/25)*AA169+(1-EXP(-LN(2)/25))/(LN(2)/25)*Calculateur!V170*Calculateur!X170*VLOOKUP('Données projet'!$B$9,Paramètres!$A$1:$I$89,3,0)*0.475*44/12</f>
        <v>8.5611357760448108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51.236019610031306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5.6843418860808015E-14</v>
      </c>
      <c r="AJ170" s="14">
        <f>AI170*VLOOKUP('Données projet'!$B$10,Paramètres!$A$1:$I$89,3,0)*VLOOKUP('Données projet'!$B$10,Paramètres!$A$1:$I$89,5,0)</f>
        <v>5.4978954722173515E-14</v>
      </c>
      <c r="AK170" s="14">
        <f t="shared" si="164"/>
        <v>8.8550225887742724E-13</v>
      </c>
      <c r="AL170" s="22">
        <f t="shared" si="165"/>
        <v>1.6380047803526383E-12</v>
      </c>
      <c r="AM170" s="62">
        <f t="shared" si="113"/>
        <v>288.40175636392127</v>
      </c>
      <c r="AN170" s="62">
        <f ca="1">AVERAGE(OFFSET($AM$3,0,0,'Données projet'!$E$10+1,1))-AVERAGE(OFFSET($H$3,0,0,'Données projet'!$E$10+1,1))</f>
        <v>265.30115826265654</v>
      </c>
      <c r="AO170" s="62">
        <f t="shared" si="144"/>
        <v>187.99130270616999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8.0560960994752797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8.0560960994752797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5.6843418860808015E-14</v>
      </c>
      <c r="BE170" s="14">
        <f>BD170*VLOOKUP('Données projet'!$B$11,Paramètres!$A$1:$I$89,3,0)*VLOOKUP('Données projet'!$B$11,Paramètres!$A$1:$I$89,5,0)</f>
        <v>6.1186256061773749E-14</v>
      </c>
      <c r="BF170" s="14">
        <f t="shared" si="167"/>
        <v>9.7328366192051127E-13</v>
      </c>
      <c r="BG170" s="22">
        <f t="shared" si="168"/>
        <v>1.8017017738191463E-12</v>
      </c>
      <c r="BH170" s="62">
        <f t="shared" si="116"/>
        <v>288.40175636392144</v>
      </c>
      <c r="BI170" s="62">
        <f ca="1">AVERAGE(OFFSET($BH$3,0,0,'Données projet'!$E$11+1,1))-AVERAGE(OFFSET($H$3,0,0,'Données projet'!$E$11+1,1))</f>
        <v>287.77879820226661</v>
      </c>
      <c r="BJ170" s="62">
        <f t="shared" si="146"/>
        <v>202.51334141855753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8.9656553365128158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8.9656553365128158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435.66722289172486</v>
      </c>
      <c r="T171" s="62">
        <f t="shared" si="142"/>
        <v>297.32483725004136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41.838055391110991</v>
      </c>
      <c r="AA171" s="23">
        <f>EXP(-LN(2)/25)*AA170+(1-EXP(-LN(2)/25))/(LN(2)/25)*Calculateur!V171*Calculateur!X171*VLOOKUP('Données projet'!$B$9,Paramètres!$A$1:$I$89,3,0)*0.475*44/12</f>
        <v>8.327031068038302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50.165086459149293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5.6843418860808015E-14</v>
      </c>
      <c r="AJ171" s="14">
        <f>AI171*VLOOKUP('Données projet'!$B$10,Paramètres!$A$1:$I$89,3,0)*VLOOKUP('Données projet'!$B$10,Paramètres!$A$1:$I$89,5,0)</f>
        <v>5.4978954722173515E-14</v>
      </c>
      <c r="AK171" s="14">
        <f t="shared" si="164"/>
        <v>8.8550225887742724E-13</v>
      </c>
      <c r="AL171" s="22">
        <f t="shared" si="165"/>
        <v>1.6380047803526383E-12</v>
      </c>
      <c r="AM171" s="62">
        <f t="shared" si="113"/>
        <v>288.48730819898617</v>
      </c>
      <c r="AN171" s="62">
        <f ca="1">AVERAGE(OFFSET($AM$3,0,0,'Données projet'!$E$10+1,1))-AVERAGE(OFFSET($H$3,0,0,'Données projet'!$E$10+1,1))</f>
        <v>265.30115826265654</v>
      </c>
      <c r="AO171" s="62">
        <f t="shared" si="144"/>
        <v>187.99130270616999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7.8358017279834469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7.8358017279834469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5.6843418860808015E-14</v>
      </c>
      <c r="BE171" s="14">
        <f>BD171*VLOOKUP('Données projet'!$B$11,Paramètres!$A$1:$I$89,3,0)*VLOOKUP('Données projet'!$B$11,Paramètres!$A$1:$I$89,5,0)</f>
        <v>6.1186256061773749E-14</v>
      </c>
      <c r="BF171" s="14">
        <f t="shared" si="167"/>
        <v>9.7328366192051127E-13</v>
      </c>
      <c r="BG171" s="22">
        <f t="shared" si="168"/>
        <v>1.8017017738191463E-12</v>
      </c>
      <c r="BH171" s="62">
        <f t="shared" si="116"/>
        <v>288.48730819898634</v>
      </c>
      <c r="BI171" s="62">
        <f ca="1">AVERAGE(OFFSET($BH$3,0,0,'Données projet'!$E$11+1,1))-AVERAGE(OFFSET($H$3,0,0,'Données projet'!$E$11+1,1))</f>
        <v>287.77879820226661</v>
      </c>
      <c r="BJ171" s="62">
        <f t="shared" si="146"/>
        <v>202.51334141855753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8.7204890198525504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8.7204890198525504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435.66722289172486</v>
      </c>
      <c r="T172" s="62">
        <f t="shared" si="142"/>
        <v>297.32483725004136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41.017636643585334</v>
      </c>
      <c r="AA172" s="23">
        <f>EXP(-LN(2)/25)*AA171+(1-EXP(-LN(2)/25))/(LN(2)/25)*Calculateur!V172*Calculateur!X172*VLOOKUP('Données projet'!$B$9,Paramètres!$A$1:$I$89,3,0)*0.475*44/12</f>
        <v>8.099327965583262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49.116964609168598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5.6843418860808015E-14</v>
      </c>
      <c r="AJ172" s="14">
        <f>AI172*VLOOKUP('Données projet'!$B$10,Paramètres!$A$1:$I$89,3,0)*VLOOKUP('Données projet'!$B$10,Paramètres!$A$1:$I$89,5,0)</f>
        <v>5.4978954722173515E-14</v>
      </c>
      <c r="AK172" s="14">
        <f t="shared" si="164"/>
        <v>8.8550225887742724E-13</v>
      </c>
      <c r="AL172" s="22">
        <f t="shared" si="165"/>
        <v>1.6380047803526383E-12</v>
      </c>
      <c r="AM172" s="62">
        <f t="shared" si="113"/>
        <v>288.57137590097807</v>
      </c>
      <c r="AN172" s="62">
        <f ca="1">AVERAGE(OFFSET($AM$3,0,0,'Données projet'!$E$10+1,1))-AVERAGE(OFFSET($H$3,0,0,'Données projet'!$E$10+1,1))</f>
        <v>265.30115826265654</v>
      </c>
      <c r="AO172" s="62">
        <f t="shared" si="144"/>
        <v>187.99130270616999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7.6215313176648358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7.6215313176648358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5.6843418860808015E-14</v>
      </c>
      <c r="BE172" s="14">
        <f>BD172*VLOOKUP('Données projet'!$B$11,Paramètres!$A$1:$I$89,3,0)*VLOOKUP('Données projet'!$B$11,Paramètres!$A$1:$I$89,5,0)</f>
        <v>6.1186256061773749E-14</v>
      </c>
      <c r="BF172" s="14">
        <f t="shared" si="167"/>
        <v>9.7328366192051127E-13</v>
      </c>
      <c r="BG172" s="22">
        <f t="shared" si="168"/>
        <v>1.8017017738191463E-12</v>
      </c>
      <c r="BH172" s="62">
        <f t="shared" si="116"/>
        <v>288.57137590097824</v>
      </c>
      <c r="BI172" s="62">
        <f ca="1">AVERAGE(OFFSET($BH$3,0,0,'Données projet'!$E$11+1,1))-AVERAGE(OFFSET($H$3,0,0,'Données projet'!$E$11+1,1))</f>
        <v>287.77879820226661</v>
      </c>
      <c r="BJ172" s="62">
        <f t="shared" si="146"/>
        <v>202.51334141855753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8.4820267890140961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8.4820267890140961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435.66722289172486</v>
      </c>
      <c r="T173" s="62">
        <f t="shared" si="142"/>
        <v>297.32483725004136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40.213305807292627</v>
      </c>
      <c r="AA173" s="23">
        <f>EXP(-LN(2)/25)*AA172+(1-EXP(-LN(2)/25))/(LN(2)/25)*Calculateur!V173*Calculateur!X173*VLOOKUP('Données projet'!$B$9,Paramètres!$A$1:$I$89,3,0)*0.475*44/12</f>
        <v>7.877851416439241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48.091157223731869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5.6843418860808015E-14</v>
      </c>
      <c r="AJ173" s="14">
        <f>AI173*VLOOKUP('Données projet'!$B$10,Paramètres!$A$1:$I$89,3,0)*VLOOKUP('Données projet'!$B$10,Paramètres!$A$1:$I$89,5,0)</f>
        <v>5.4978954722173515E-14</v>
      </c>
      <c r="AK173" s="14">
        <f t="shared" si="164"/>
        <v>8.8550225887742724E-13</v>
      </c>
      <c r="AL173" s="22">
        <f t="shared" si="165"/>
        <v>1.6380047803526383E-12</v>
      </c>
      <c r="AM173" s="62">
        <f t="shared" si="113"/>
        <v>288.65398521628754</v>
      </c>
      <c r="AN173" s="62">
        <f ca="1">AVERAGE(OFFSET($AM$3,0,0,'Données projet'!$E$10+1,1))-AVERAGE(OFFSET($H$3,0,0,'Données projet'!$E$10+1,1))</f>
        <v>265.30115826265654</v>
      </c>
      <c r="AO173" s="62">
        <f t="shared" si="144"/>
        <v>187.99130270616999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7.4131201429843783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7.4131201429843783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5.6843418860808015E-14</v>
      </c>
      <c r="BE173" s="14">
        <f>BD173*VLOOKUP('Données projet'!$B$11,Paramètres!$A$1:$I$89,3,0)*VLOOKUP('Données projet'!$B$11,Paramètres!$A$1:$I$89,5,0)</f>
        <v>6.1186256061773749E-14</v>
      </c>
      <c r="BF173" s="14">
        <f t="shared" si="167"/>
        <v>9.7328366192051127E-13</v>
      </c>
      <c r="BG173" s="22">
        <f t="shared" si="168"/>
        <v>1.8017017738191463E-12</v>
      </c>
      <c r="BH173" s="62">
        <f t="shared" si="116"/>
        <v>288.65398521628771</v>
      </c>
      <c r="BI173" s="62">
        <f ca="1">AVERAGE(OFFSET($BH$3,0,0,'Données projet'!$E$11+1,1))-AVERAGE(OFFSET($H$3,0,0,'Données projet'!$E$11+1,1))</f>
        <v>287.77879820226661</v>
      </c>
      <c r="BJ173" s="62">
        <f t="shared" si="146"/>
        <v>202.51334141855753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8.2500853204181031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8.2500853204181031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435.66722289172486</v>
      </c>
      <c r="T174" s="62">
        <f t="shared" si="142"/>
        <v>297.32483725004136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39.424747408106256</v>
      </c>
      <c r="AA174" s="23">
        <f>EXP(-LN(2)/25)*AA173+(1-EXP(-LN(2)/25))/(LN(2)/25)*Calculateur!V174*Calculateur!X174*VLOOKUP('Données projet'!$B$9,Paramètres!$A$1:$I$89,3,0)*0.475*44/12</f>
        <v>7.6624311551785089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47.087178563284766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5.6843418860808015E-14</v>
      </c>
      <c r="AJ174" s="14">
        <f>AI174*VLOOKUP('Données projet'!$B$10,Paramètres!$A$1:$I$89,3,0)*VLOOKUP('Données projet'!$B$10,Paramètres!$A$1:$I$89,5,0)</f>
        <v>5.4978954722173515E-14</v>
      </c>
      <c r="AK174" s="14">
        <f t="shared" si="164"/>
        <v>8.8550225887742724E-13</v>
      </c>
      <c r="AL174" s="22">
        <f t="shared" si="165"/>
        <v>1.6380047803526383E-12</v>
      </c>
      <c r="AM174" s="62">
        <f t="shared" si="113"/>
        <v>288.73516144466316</v>
      </c>
      <c r="AN174" s="62">
        <f ca="1">AVERAGE(OFFSET($AM$3,0,0,'Données projet'!$E$10+1,1))-AVERAGE(OFFSET($H$3,0,0,'Données projet'!$E$10+1,1))</f>
        <v>265.30115826265654</v>
      </c>
      <c r="AO174" s="62">
        <f t="shared" si="144"/>
        <v>187.99130270616999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7.2104079828354246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7.2104079828354246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5.6843418860808015E-14</v>
      </c>
      <c r="BE174" s="14">
        <f>BD174*VLOOKUP('Données projet'!$B$11,Paramètres!$A$1:$I$89,3,0)*VLOOKUP('Données projet'!$B$11,Paramètres!$A$1:$I$89,5,0)</f>
        <v>6.1186256061773749E-14</v>
      </c>
      <c r="BF174" s="14">
        <f t="shared" si="167"/>
        <v>9.7328366192051127E-13</v>
      </c>
      <c r="BG174" s="22">
        <f t="shared" si="168"/>
        <v>1.8017017738191463E-12</v>
      </c>
      <c r="BH174" s="62">
        <f t="shared" si="116"/>
        <v>288.73516144466333</v>
      </c>
      <c r="BI174" s="62">
        <f ca="1">AVERAGE(OFFSET($BH$3,0,0,'Données projet'!$E$11+1,1))-AVERAGE(OFFSET($H$3,0,0,'Données projet'!$E$11+1,1))</f>
        <v>287.77879820226661</v>
      </c>
      <c r="BJ174" s="62">
        <f t="shared" si="146"/>
        <v>202.51334141855753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8.0244863034781382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8.0244863034781382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435.66722289172486</v>
      </c>
      <c r="T175" s="62">
        <f t="shared" si="142"/>
        <v>297.32483725004136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38.651652158154796</v>
      </c>
      <c r="AA175" s="23">
        <f>EXP(-LN(2)/25)*AA174+(1-EXP(-LN(2)/25))/(LN(2)/25)*Calculateur!V175*Calculateur!X175*VLOOKUP('Données projet'!$B$9,Paramètres!$A$1:$I$89,3,0)*0.475*44/12</f>
        <v>7.4529015722904113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46.104553730445204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5.6843418860808015E-14</v>
      </c>
      <c r="AJ175" s="14">
        <f>AI175*VLOOKUP('Données projet'!$B$10,Paramètres!$A$1:$I$89,3,0)*VLOOKUP('Données projet'!$B$10,Paramètres!$A$1:$I$89,5,0)</f>
        <v>5.4978954722173515E-14</v>
      </c>
      <c r="AK175" s="14">
        <f t="shared" si="164"/>
        <v>8.8550225887742724E-13</v>
      </c>
      <c r="AL175" s="22">
        <f t="shared" si="165"/>
        <v>1.6380047803526383E-12</v>
      </c>
      <c r="AM175" s="62">
        <f t="shared" si="113"/>
        <v>288.8149294469593</v>
      </c>
      <c r="AN175" s="62">
        <f ca="1">AVERAGE(OFFSET($AM$3,0,0,'Données projet'!$E$10+1,1))-AVERAGE(OFFSET($H$3,0,0,'Données projet'!$E$10+1,1))</f>
        <v>265.30115826265654</v>
      </c>
      <c r="AO175" s="62">
        <f t="shared" si="144"/>
        <v>187.99130270616999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7.0132389973659137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7.0132389973659137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5.6843418860808015E-14</v>
      </c>
      <c r="BE175" s="14">
        <f>BD175*VLOOKUP('Données projet'!$B$11,Paramètres!$A$1:$I$89,3,0)*VLOOKUP('Données projet'!$B$11,Paramètres!$A$1:$I$89,5,0)</f>
        <v>6.1186256061773749E-14</v>
      </c>
      <c r="BF175" s="14">
        <f t="shared" si="167"/>
        <v>9.7328366192051127E-13</v>
      </c>
      <c r="BG175" s="22">
        <f t="shared" si="168"/>
        <v>1.8017017738191463E-12</v>
      </c>
      <c r="BH175" s="62">
        <f t="shared" si="116"/>
        <v>288.81492944695947</v>
      </c>
      <c r="BI175" s="62">
        <f ca="1">AVERAGE(OFFSET($BH$3,0,0,'Données projet'!$E$11+1,1))-AVERAGE(OFFSET($H$3,0,0,'Données projet'!$E$11+1,1))</f>
        <v>287.77879820226661</v>
      </c>
      <c r="BJ175" s="62">
        <f t="shared" si="146"/>
        <v>202.51334141855753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7.8050563035201339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7.8050563035201339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435.66722289172486</v>
      </c>
      <c r="T176" s="62">
        <f t="shared" si="142"/>
        <v>297.32483725004136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37.893716834513341</v>
      </c>
      <c r="AA176" s="23">
        <f>EXP(-LN(2)/25)*AA175+(1-EXP(-LN(2)/25))/(LN(2)/25)*Calculateur!V176*Calculateur!X176*VLOOKUP('Données projet'!$B$9,Paramètres!$A$1:$I$89,3,0)*0.475*44/12</f>
        <v>7.2491015868650699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45.142818421378408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5.6843418860808015E-14</v>
      </c>
      <c r="AJ176" s="14">
        <f>AI176*VLOOKUP('Données projet'!$B$10,Paramètres!$A$1:$I$89,3,0)*VLOOKUP('Données projet'!$B$10,Paramètres!$A$1:$I$89,5,0)</f>
        <v>5.4978954722173515E-14</v>
      </c>
      <c r="AK176" s="14">
        <f t="shared" si="164"/>
        <v>8.8550225887742724E-13</v>
      </c>
      <c r="AL176" s="22">
        <f t="shared" si="165"/>
        <v>1.6380047803526383E-12</v>
      </c>
      <c r="AM176" s="62">
        <f t="shared" si="113"/>
        <v>288.89331365275012</v>
      </c>
      <c r="AN176" s="62">
        <f ca="1">AVERAGE(OFFSET($AM$3,0,0,'Données projet'!$E$10+1,1))-AVERAGE(OFFSET($H$3,0,0,'Données projet'!$E$10+1,1))</f>
        <v>265.30115826265654</v>
      </c>
      <c r="AO176" s="62">
        <f t="shared" si="144"/>
        <v>187.99130270616999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6.8214616081727328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6.8214616081727328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5.6843418860808015E-14</v>
      </c>
      <c r="BE176" s="14">
        <f>BD176*VLOOKUP('Données projet'!$B$11,Paramètres!$A$1:$I$89,3,0)*VLOOKUP('Données projet'!$B$11,Paramètres!$A$1:$I$89,5,0)</f>
        <v>6.1186256061773749E-14</v>
      </c>
      <c r="BF176" s="14">
        <f t="shared" si="167"/>
        <v>9.7328366192051127E-13</v>
      </c>
      <c r="BG176" s="22">
        <f t="shared" si="168"/>
        <v>1.8017017738191463E-12</v>
      </c>
      <c r="BH176" s="62">
        <f t="shared" si="116"/>
        <v>288.89331365275029</v>
      </c>
      <c r="BI176" s="62">
        <f ca="1">AVERAGE(OFFSET($BH$3,0,0,'Données projet'!$E$11+1,1))-AVERAGE(OFFSET($H$3,0,0,'Données projet'!$E$11+1,1))</f>
        <v>287.77879820226661</v>
      </c>
      <c r="BJ176" s="62">
        <f t="shared" si="146"/>
        <v>202.51334141855753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7.5916266284503031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7.5916266284503031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435.66722289172486</v>
      </c>
      <c r="T177" s="62">
        <f t="shared" si="142"/>
        <v>297.32483725004136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37.150644160273593</v>
      </c>
      <c r="AA177" s="23">
        <f>EXP(-LN(2)/25)*AA176+(1-EXP(-LN(2)/25))/(LN(2)/25)*Calculateur!V177*Calculateur!X177*VLOOKUP('Données projet'!$B$9,Paramètres!$A$1:$I$89,3,0)*0.475*44/12</f>
        <v>7.0508745227585603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44.201518683032155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5.6843418860808015E-14</v>
      </c>
      <c r="AJ177" s="14">
        <f>AI177*VLOOKUP('Données projet'!$B$10,Paramètres!$A$1:$I$89,3,0)*VLOOKUP('Données projet'!$B$10,Paramètres!$A$1:$I$89,5,0)</f>
        <v>5.4978954722173515E-14</v>
      </c>
      <c r="AK177" s="14">
        <f t="shared" si="164"/>
        <v>8.8550225887742724E-13</v>
      </c>
      <c r="AL177" s="22">
        <f t="shared" si="165"/>
        <v>1.6380047803526383E-12</v>
      </c>
      <c r="AM177" s="62">
        <f t="shared" si="113"/>
        <v>288.97033806781138</v>
      </c>
      <c r="AN177" s="62">
        <f ca="1">AVERAGE(OFFSET($AM$3,0,0,'Données projet'!$E$10+1,1))-AVERAGE(OFFSET($H$3,0,0,'Données projet'!$E$10+1,1))</f>
        <v>265.30115826265654</v>
      </c>
      <c r="AO177" s="62">
        <f t="shared" si="144"/>
        <v>187.99130270616999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6.6349283817721743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6.6349283817721743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5.6843418860808015E-14</v>
      </c>
      <c r="BE177" s="14">
        <f>BD177*VLOOKUP('Données projet'!$B$11,Paramètres!$A$1:$I$89,3,0)*VLOOKUP('Données projet'!$B$11,Paramètres!$A$1:$I$89,5,0)</f>
        <v>6.1186256061773749E-14</v>
      </c>
      <c r="BF177" s="14">
        <f t="shared" si="167"/>
        <v>9.7328366192051127E-13</v>
      </c>
      <c r="BG177" s="22">
        <f t="shared" si="168"/>
        <v>1.8017017738191463E-12</v>
      </c>
      <c r="BH177" s="62">
        <f t="shared" si="116"/>
        <v>288.97033806781155</v>
      </c>
      <c r="BI177" s="62">
        <f ca="1">AVERAGE(OFFSET($BH$3,0,0,'Données projet'!$E$11+1,1))-AVERAGE(OFFSET($H$3,0,0,'Données projet'!$E$11+1,1))</f>
        <v>287.77879820226661</v>
      </c>
      <c r="BJ177" s="62">
        <f t="shared" si="146"/>
        <v>202.51334141855753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7.3840331990690364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7.3840331990690364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435.66722289172486</v>
      </c>
      <c r="T178" s="62">
        <f t="shared" si="142"/>
        <v>297.32483725004136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36.422142687946113</v>
      </c>
      <c r="AA178" s="23">
        <f>EXP(-LN(2)/25)*AA177+(1-EXP(-LN(2)/25))/(LN(2)/25)*Calculateur!V178*Calculateur!X178*VLOOKUP('Données projet'!$B$9,Paramètres!$A$1:$I$89,3,0)*0.475*44/12</f>
        <v>6.8580679881443514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43.280210676090462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5.6843418860808015E-14</v>
      </c>
      <c r="AJ178" s="14">
        <f>AI178*VLOOKUP('Données projet'!$B$10,Paramètres!$A$1:$I$89,3,0)*VLOOKUP('Données projet'!$B$10,Paramètres!$A$1:$I$89,5,0)</f>
        <v>5.4978954722173515E-14</v>
      </c>
      <c r="AK178" s="14">
        <f t="shared" si="164"/>
        <v>8.8550225887742724E-13</v>
      </c>
      <c r="AL178" s="22">
        <f t="shared" si="165"/>
        <v>1.6380047803526383E-12</v>
      </c>
      <c r="AM178" s="62">
        <f t="shared" si="113"/>
        <v>289.04602628147205</v>
      </c>
      <c r="AN178" s="62">
        <f ca="1">AVERAGE(OFFSET($AM$3,0,0,'Données projet'!$E$10+1,1))-AVERAGE(OFFSET($H$3,0,0,'Données projet'!$E$10+1,1))</f>
        <v>265.30115826265654</v>
      </c>
      <c r="AO178" s="62">
        <f t="shared" si="144"/>
        <v>187.99130270616999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6.4534959162568946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6.4534959162568946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5.6843418860808015E-14</v>
      </c>
      <c r="BE178" s="14">
        <f>BD178*VLOOKUP('Données projet'!$B$11,Paramètres!$A$1:$I$89,3,0)*VLOOKUP('Données projet'!$B$11,Paramètres!$A$1:$I$89,5,0)</f>
        <v>6.1186256061773749E-14</v>
      </c>
      <c r="BF178" s="14">
        <f t="shared" si="167"/>
        <v>9.7328366192051127E-13</v>
      </c>
      <c r="BG178" s="22">
        <f t="shared" si="168"/>
        <v>1.8017017738191463E-12</v>
      </c>
      <c r="BH178" s="62">
        <f t="shared" si="116"/>
        <v>289.04602628147222</v>
      </c>
      <c r="BI178" s="62">
        <f ca="1">AVERAGE(OFFSET($BH$3,0,0,'Données projet'!$E$11+1,1))-AVERAGE(OFFSET($H$3,0,0,'Données projet'!$E$11+1,1))</f>
        <v>287.77879820226661</v>
      </c>
      <c r="BJ178" s="62">
        <f t="shared" si="146"/>
        <v>202.51334141855753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7.1821164229310641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7.1821164229310641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435.66722289172486</v>
      </c>
      <c r="T179" s="62">
        <f t="shared" si="142"/>
        <v>297.32483725004136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35.707926685148948</v>
      </c>
      <c r="AA179" s="23">
        <f>EXP(-LN(2)/25)*AA178+(1-EXP(-LN(2)/25))/(LN(2)/25)*Calculateur!V179*Calculateur!X179*VLOOKUP('Données projet'!$B$9,Paramètres!$A$1:$I$89,3,0)*0.475*44/12</f>
        <v>6.670533758358423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42.378460443507372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5.6843418860808015E-14</v>
      </c>
      <c r="AJ179" s="14">
        <f>AI179*VLOOKUP('Données projet'!$B$10,Paramètres!$A$1:$I$89,3,0)*VLOOKUP('Données projet'!$B$10,Paramètres!$A$1:$I$89,5,0)</f>
        <v>5.4978954722173515E-14</v>
      </c>
      <c r="AK179" s="14">
        <f t="shared" si="164"/>
        <v>8.8550225887742724E-13</v>
      </c>
      <c r="AL179" s="22">
        <f t="shared" si="165"/>
        <v>1.6380047803526383E-12</v>
      </c>
      <c r="AM179" s="62">
        <f t="shared" si="113"/>
        <v>289.12040147383925</v>
      </c>
      <c r="AN179" s="62">
        <f ca="1">AVERAGE(OFFSET($AM$3,0,0,'Données projet'!$E$10+1,1))-AVERAGE(OFFSET($H$3,0,0,'Données projet'!$E$10+1,1))</f>
        <v>265.30115826265654</v>
      </c>
      <c r="AO179" s="62">
        <f t="shared" si="144"/>
        <v>187.99130270616999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6.2770247310522489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6.2770247310522489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5.6843418860808015E-14</v>
      </c>
      <c r="BE179" s="14">
        <f>BD179*VLOOKUP('Données projet'!$B$11,Paramètres!$A$1:$I$89,3,0)*VLOOKUP('Données projet'!$B$11,Paramètres!$A$1:$I$89,5,0)</f>
        <v>6.1186256061773749E-14</v>
      </c>
      <c r="BF179" s="14">
        <f t="shared" si="167"/>
        <v>9.7328366192051127E-13</v>
      </c>
      <c r="BG179" s="22">
        <f t="shared" si="168"/>
        <v>1.8017017738191463E-12</v>
      </c>
      <c r="BH179" s="62">
        <f t="shared" si="116"/>
        <v>289.12040147383942</v>
      </c>
      <c r="BI179" s="62">
        <f ca="1">AVERAGE(OFFSET($BH$3,0,0,'Données projet'!$E$11+1,1))-AVERAGE(OFFSET($H$3,0,0,'Données projet'!$E$11+1,1))</f>
        <v>287.77879820226661</v>
      </c>
      <c r="BJ179" s="62">
        <f t="shared" si="146"/>
        <v>202.51334141855753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6.9857210716549263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6.9857210716549263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435.66722289172486</v>
      </c>
      <c r="T180" s="62">
        <f t="shared" si="142"/>
        <v>297.32483725004136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35.007716022537892</v>
      </c>
      <c r="AA180" s="23">
        <f>EXP(-LN(2)/25)*AA179+(1-EXP(-LN(2)/25))/(LN(2)/25)*Calculateur!V180*Calculateur!X180*VLOOKUP('Données projet'!$B$9,Paramètres!$A$1:$I$89,3,0)*0.475*44/12</f>
        <v>6.4881276619479875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41.495843684485877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5.6843418860808015E-14</v>
      </c>
      <c r="AJ180" s="14">
        <f>AI180*VLOOKUP('Données projet'!$B$10,Paramètres!$A$1:$I$89,3,0)*VLOOKUP('Données projet'!$B$10,Paramètres!$A$1:$I$89,5,0)</f>
        <v>5.4978954722173515E-14</v>
      </c>
      <c r="AK180" s="14">
        <f t="shared" si="164"/>
        <v>8.8550225887742724E-13</v>
      </c>
      <c r="AL180" s="22">
        <f t="shared" si="165"/>
        <v>1.6380047803526383E-12</v>
      </c>
      <c r="AM180" s="62">
        <f t="shared" si="113"/>
        <v>289.19348642289691</v>
      </c>
      <c r="AN180" s="62">
        <f ca="1">AVERAGE(OFFSET($AM$3,0,0,'Données projet'!$E$10+1,1))-AVERAGE(OFFSET($H$3,0,0,'Données projet'!$E$10+1,1))</f>
        <v>265.30115826265654</v>
      </c>
      <c r="AO180" s="62">
        <f t="shared" si="144"/>
        <v>187.99130270616999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6.1053791596872413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6.1053791596872413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5.6843418860808015E-14</v>
      </c>
      <c r="BE180" s="14">
        <f>BD180*VLOOKUP('Données projet'!$B$11,Paramètres!$A$1:$I$89,3,0)*VLOOKUP('Données projet'!$B$11,Paramètres!$A$1:$I$89,5,0)</f>
        <v>6.1186256061773749E-14</v>
      </c>
      <c r="BF180" s="14">
        <f t="shared" si="167"/>
        <v>9.7328366192051127E-13</v>
      </c>
      <c r="BG180" s="22">
        <f t="shared" si="168"/>
        <v>1.8017017738191463E-12</v>
      </c>
      <c r="BH180" s="62">
        <f t="shared" si="116"/>
        <v>289.19348642289708</v>
      </c>
      <c r="BI180" s="62">
        <f ca="1">AVERAGE(OFFSET($BH$3,0,0,'Données projet'!$E$11+1,1))-AVERAGE(OFFSET($H$3,0,0,'Données projet'!$E$11+1,1))</f>
        <v>287.77879820226661</v>
      </c>
      <c r="BJ180" s="62">
        <f t="shared" si="146"/>
        <v>202.51334141855753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6.7946961615874173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6.7946961615874173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435.66722289172486</v>
      </c>
      <c r="T181" s="62">
        <f t="shared" si="142"/>
        <v>297.32483725004136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34.3212360639343</v>
      </c>
      <c r="AA181" s="23">
        <f>EXP(-LN(2)/25)*AA180+(1-EXP(-LN(2)/25))/(LN(2)/25)*Calculateur!V181*Calculateur!X181*VLOOKUP('Données projet'!$B$9,Paramètres!$A$1:$I$89,3,0)*0.475*44/12</f>
        <v>6.3107094698362145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40.631945533770512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5.6843418860808015E-14</v>
      </c>
      <c r="AJ181" s="14">
        <f>AI181*VLOOKUP('Données projet'!$B$10,Paramètres!$A$1:$I$89,3,0)*VLOOKUP('Données projet'!$B$10,Paramètres!$A$1:$I$89,5,0)</f>
        <v>5.4978954722173515E-14</v>
      </c>
      <c r="AK181" s="14">
        <f t="shared" si="164"/>
        <v>8.8550225887742724E-13</v>
      </c>
      <c r="AL181" s="22">
        <f t="shared" si="165"/>
        <v>1.6380047803526383E-12</v>
      </c>
      <c r="AM181" s="62">
        <f t="shared" si="113"/>
        <v>289.26530351148182</v>
      </c>
      <c r="AN181" s="62">
        <f ca="1">AVERAGE(OFFSET($AM$3,0,0,'Données projet'!$E$10+1,1))-AVERAGE(OFFSET($H$3,0,0,'Données projet'!$E$10+1,1))</f>
        <v>265.30115826265654</v>
      </c>
      <c r="AO181" s="62">
        <f t="shared" si="144"/>
        <v>187.99130270616999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5.9384272454976577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5.9384272454976577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5.6843418860808015E-14</v>
      </c>
      <c r="BE181" s="14">
        <f>BD181*VLOOKUP('Données projet'!$B$11,Paramètres!$A$1:$I$89,3,0)*VLOOKUP('Données projet'!$B$11,Paramètres!$A$1:$I$89,5,0)</f>
        <v>6.1186256061773749E-14</v>
      </c>
      <c r="BF181" s="14">
        <f t="shared" si="167"/>
        <v>9.7328366192051127E-13</v>
      </c>
      <c r="BG181" s="22">
        <f t="shared" si="168"/>
        <v>1.8017017738191463E-12</v>
      </c>
      <c r="BH181" s="62">
        <f t="shared" si="116"/>
        <v>289.26530351148199</v>
      </c>
      <c r="BI181" s="62">
        <f ca="1">AVERAGE(OFFSET($BH$3,0,0,'Données projet'!$E$11+1,1))-AVERAGE(OFFSET($H$3,0,0,'Données projet'!$E$11+1,1))</f>
        <v>287.77879820226661</v>
      </c>
      <c r="BJ181" s="62">
        <f t="shared" si="146"/>
        <v>202.51334141855753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6.6088948377312677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6.6088948377312677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435.66722289172486</v>
      </c>
      <c r="T182" s="62">
        <f t="shared" si="142"/>
        <v>297.32483725004136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33.648217558607499</v>
      </c>
      <c r="AA182" s="23">
        <f>EXP(-LN(2)/25)*AA181+(1-EXP(-LN(2)/25))/(LN(2)/25)*Calculateur!V182*Calculateur!X182*VLOOKUP('Données projet'!$B$9,Paramètres!$A$1:$I$89,3,0)*0.475*44/12</f>
        <v>6.1381427875177552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39.786360346125257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5.6843418860808015E-14</v>
      </c>
      <c r="AJ182" s="14">
        <f>AI182*VLOOKUP('Données projet'!$B$10,Paramètres!$A$1:$I$89,3,0)*VLOOKUP('Données projet'!$B$10,Paramètres!$A$1:$I$89,5,0)</f>
        <v>5.4978954722173515E-14</v>
      </c>
      <c r="AK182" s="14">
        <f t="shared" si="164"/>
        <v>8.8550225887742724E-13</v>
      </c>
      <c r="AL182" s="22">
        <f t="shared" si="165"/>
        <v>1.6380047803526383E-12</v>
      </c>
      <c r="AM182" s="62">
        <f t="shared" si="113"/>
        <v>289.33587473413877</v>
      </c>
      <c r="AN182" s="62">
        <f ca="1">AVERAGE(OFFSET($AM$3,0,0,'Données projet'!$E$10+1,1))-AVERAGE(OFFSET($H$3,0,0,'Données projet'!$E$10+1,1))</f>
        <v>265.30115826265654</v>
      </c>
      <c r="AO182" s="62">
        <f t="shared" si="144"/>
        <v>187.99130270616999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5.7760406401812077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5.7760406401812077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5.6843418860808015E-14</v>
      </c>
      <c r="BE182" s="14">
        <f>BD182*VLOOKUP('Données projet'!$B$11,Paramètres!$A$1:$I$89,3,0)*VLOOKUP('Données projet'!$B$11,Paramètres!$A$1:$I$89,5,0)</f>
        <v>6.1186256061773749E-14</v>
      </c>
      <c r="BF182" s="14">
        <f t="shared" si="167"/>
        <v>9.7328366192051127E-13</v>
      </c>
      <c r="BG182" s="22">
        <f t="shared" si="168"/>
        <v>1.8017017738191463E-12</v>
      </c>
      <c r="BH182" s="62">
        <f t="shared" si="116"/>
        <v>289.33587473413894</v>
      </c>
      <c r="BI182" s="62">
        <f ca="1">AVERAGE(OFFSET($BH$3,0,0,'Données projet'!$E$11+1,1))-AVERAGE(OFFSET($H$3,0,0,'Données projet'!$E$11+1,1))</f>
        <v>287.77879820226661</v>
      </c>
      <c r="BJ182" s="62">
        <f t="shared" si="146"/>
        <v>202.51334141855753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6.4281742608468315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6.4281742608468315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435.66722289172486</v>
      </c>
      <c r="T183" s="62">
        <f t="shared" si="142"/>
        <v>297.32483725004136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32.988396535669402</v>
      </c>
      <c r="AA183" s="23">
        <f>EXP(-LN(2)/25)*AA182+(1-EXP(-LN(2)/25))/(LN(2)/25)*Calculateur!V183*Calculateur!X183*VLOOKUP('Données projet'!$B$9,Paramètres!$A$1:$I$89,3,0)*0.475*44/12</f>
        <v>5.9702949502021818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38.958691485871583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5.6843418860808015E-14</v>
      </c>
      <c r="AJ183" s="14">
        <f>AI183*VLOOKUP('Données projet'!$B$10,Paramètres!$A$1:$I$89,3,0)*VLOOKUP('Données projet'!$B$10,Paramètres!$A$1:$I$89,5,0)</f>
        <v>5.4978954722173515E-14</v>
      </c>
      <c r="AK183" s="14">
        <f t="shared" si="164"/>
        <v>8.8550225887742724E-13</v>
      </c>
      <c r="AL183" s="22">
        <f t="shared" si="165"/>
        <v>1.6380047803526383E-12</v>
      </c>
      <c r="AM183" s="62">
        <f t="shared" si="113"/>
        <v>289.40522170385628</v>
      </c>
      <c r="AN183" s="62">
        <f ca="1">AVERAGE(OFFSET($AM$3,0,0,'Données projet'!$E$10+1,1))-AVERAGE(OFFSET($H$3,0,0,'Données projet'!$E$10+1,1))</f>
        <v>265.30115826265654</v>
      </c>
      <c r="AO183" s="62">
        <f t="shared" si="144"/>
        <v>187.99130270616999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5.6180945051266766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5.6180945051266766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5.6843418860808015E-14</v>
      </c>
      <c r="BE183" s="14">
        <f>BD183*VLOOKUP('Données projet'!$B$11,Paramètres!$A$1:$I$89,3,0)*VLOOKUP('Données projet'!$B$11,Paramètres!$A$1:$I$89,5,0)</f>
        <v>6.1186256061773749E-14</v>
      </c>
      <c r="BF183" s="14">
        <f t="shared" si="167"/>
        <v>9.7328366192051127E-13</v>
      </c>
      <c r="BG183" s="22">
        <f t="shared" si="168"/>
        <v>1.8017017738191463E-12</v>
      </c>
      <c r="BH183" s="62">
        <f t="shared" si="116"/>
        <v>289.40522170385645</v>
      </c>
      <c r="BI183" s="62">
        <f ca="1">AVERAGE(OFFSET($BH$3,0,0,'Données projet'!$E$11+1,1))-AVERAGE(OFFSET($H$3,0,0,'Données projet'!$E$11+1,1))</f>
        <v>287.77879820226661</v>
      </c>
      <c r="BJ183" s="62">
        <f t="shared" si="146"/>
        <v>202.51334141855753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6.2523954976409826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6.2523954976409826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435.66722289172486</v>
      </c>
      <c r="T184" s="62">
        <f t="shared" si="142"/>
        <v>297.32483725004136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32.341514200540033</v>
      </c>
      <c r="AA184" s="23">
        <f>EXP(-LN(2)/25)*AA183+(1-EXP(-LN(2)/25))/(LN(2)/25)*Calculateur!V184*Calculateur!X184*VLOOKUP('Données projet'!$B$9,Paramètres!$A$1:$I$89,3,0)*0.475*44/12</f>
        <v>5.8070369208247374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38.148551121364768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5.6843418860808015E-14</v>
      </c>
      <c r="AJ184" s="14">
        <f>AI184*VLOOKUP('Données projet'!$B$10,Paramètres!$A$1:$I$89,3,0)*VLOOKUP('Données projet'!$B$10,Paramètres!$A$1:$I$89,5,0)</f>
        <v>5.4978954722173515E-14</v>
      </c>
      <c r="AK184" s="14">
        <f t="shared" si="164"/>
        <v>8.8550225887742724E-13</v>
      </c>
      <c r="AL184" s="22">
        <f t="shared" si="165"/>
        <v>1.6380047803526383E-12</v>
      </c>
      <c r="AM184" s="62">
        <f t="shared" si="113"/>
        <v>289.47336565868574</v>
      </c>
      <c r="AN184" s="62">
        <f ca="1">AVERAGE(OFFSET($AM$3,0,0,'Données projet'!$E$10+1,1))-AVERAGE(OFFSET($H$3,0,0,'Données projet'!$E$10+1,1))</f>
        <v>265.30115826265654</v>
      </c>
      <c r="AO184" s="62">
        <f t="shared" si="144"/>
        <v>187.99130270616999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5.4644674154412378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5.4644674154412378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5.6843418860808015E-14</v>
      </c>
      <c r="BE184" s="14">
        <f>BD184*VLOOKUP('Données projet'!$B$11,Paramètres!$A$1:$I$89,3,0)*VLOOKUP('Données projet'!$B$11,Paramètres!$A$1:$I$89,5,0)</f>
        <v>6.1186256061773749E-14</v>
      </c>
      <c r="BF184" s="14">
        <f t="shared" si="167"/>
        <v>9.7328366192051127E-13</v>
      </c>
      <c r="BG184" s="22">
        <f t="shared" si="168"/>
        <v>1.8017017738191463E-12</v>
      </c>
      <c r="BH184" s="62">
        <f t="shared" si="116"/>
        <v>289.47336565868591</v>
      </c>
      <c r="BI184" s="62">
        <f ca="1">AVERAGE(OFFSET($BH$3,0,0,'Données projet'!$E$11+1,1))-AVERAGE(OFFSET($H$3,0,0,'Données projet'!$E$11+1,1))</f>
        <v>287.77879820226661</v>
      </c>
      <c r="BJ184" s="62">
        <f t="shared" si="146"/>
        <v>202.51334141855753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6.0814234139588006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6.0814234139588006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435.66722289172486</v>
      </c>
      <c r="T185" s="62">
        <f t="shared" si="142"/>
        <v>297.32483725004136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31.707316833443286</v>
      </c>
      <c r="AA185" s="23">
        <f>EXP(-LN(2)/25)*AA184+(1-EXP(-LN(2)/25))/(LN(2)/25)*Calculateur!V185*Calculateur!X185*VLOOKUP('Données projet'!$B$9,Paramètres!$A$1:$I$89,3,0)*0.475*44/12</f>
        <v>5.6482431908459851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37.355560024289275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5.6843418860808015E-14</v>
      </c>
      <c r="AJ185" s="14">
        <f>AI185*VLOOKUP('Données projet'!$B$10,Paramètres!$A$1:$I$89,3,0)*VLOOKUP('Données projet'!$B$10,Paramètres!$A$1:$I$89,5,0)</f>
        <v>5.4978954722173515E-14</v>
      </c>
      <c r="AK185" s="14">
        <f t="shared" si="164"/>
        <v>8.8550225887742724E-13</v>
      </c>
      <c r="AL185" s="22">
        <f t="shared" si="165"/>
        <v>1.6380047803526383E-12</v>
      </c>
      <c r="AM185" s="62">
        <f t="shared" si="113"/>
        <v>289.54032746824606</v>
      </c>
      <c r="AN185" s="62">
        <f ca="1">AVERAGE(OFFSET($AM$3,0,0,'Données projet'!$E$10+1,1))-AVERAGE(OFFSET($H$3,0,0,'Données projet'!$E$10+1,1))</f>
        <v>265.30115826265654</v>
      </c>
      <c r="AO185" s="62">
        <f t="shared" si="144"/>
        <v>187.99130270616999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5.3150412666021447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5.3150412666021447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5.6843418860808015E-14</v>
      </c>
      <c r="BE185" s="14">
        <f>BD185*VLOOKUP('Données projet'!$B$11,Paramètres!$A$1:$I$89,3,0)*VLOOKUP('Données projet'!$B$11,Paramètres!$A$1:$I$89,5,0)</f>
        <v>6.1186256061773749E-14</v>
      </c>
      <c r="BF185" s="14">
        <f t="shared" si="167"/>
        <v>9.7328366192051127E-13</v>
      </c>
      <c r="BG185" s="22">
        <f t="shared" si="168"/>
        <v>1.8017017738191463E-12</v>
      </c>
      <c r="BH185" s="62">
        <f t="shared" si="116"/>
        <v>289.54032746824623</v>
      </c>
      <c r="BI185" s="62">
        <f ca="1">AVERAGE(OFFSET($BH$3,0,0,'Données projet'!$E$11+1,1))-AVERAGE(OFFSET($H$3,0,0,'Données projet'!$E$11+1,1))</f>
        <v>287.77879820226661</v>
      </c>
      <c r="BJ185" s="62">
        <f t="shared" si="146"/>
        <v>202.51334141855753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5.9151265708959393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5.9151265708959393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435.66722289172486</v>
      </c>
      <c r="T186" s="62">
        <f t="shared" si="142"/>
        <v>297.32483725004136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31.085555689893109</v>
      </c>
      <c r="AA186" s="23">
        <f>EXP(-LN(2)/25)*AA185+(1-EXP(-LN(2)/25))/(LN(2)/25)*Calculateur!V186*Calculateur!X186*VLOOKUP('Données projet'!$B$9,Paramètres!$A$1:$I$89,3,0)*0.475*44/12</f>
        <v>5.4937916837641012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36.579347373657214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5.6843418860808015E-14</v>
      </c>
      <c r="AJ186" s="14">
        <f>AI186*VLOOKUP('Données projet'!$B$10,Paramètres!$A$1:$I$89,3,0)*VLOOKUP('Données projet'!$B$10,Paramètres!$A$1:$I$89,5,0)</f>
        <v>5.4978954722173515E-14</v>
      </c>
      <c r="AK186" s="14">
        <f t="shared" si="164"/>
        <v>8.8550225887742724E-13</v>
      </c>
      <c r="AL186" s="22">
        <f t="shared" si="165"/>
        <v>1.6380047803526383E-12</v>
      </c>
      <c r="AM186" s="62">
        <f t="shared" si="113"/>
        <v>289.60612764011461</v>
      </c>
      <c r="AN186" s="62">
        <f ca="1">AVERAGE(OFFSET($AM$3,0,0,'Données projet'!$E$10+1,1))-AVERAGE(OFFSET($H$3,0,0,'Données projet'!$E$10+1,1))</f>
        <v>265.30115826265654</v>
      </c>
      <c r="AO186" s="62">
        <f t="shared" si="144"/>
        <v>187.99130270616999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5.1697011836610365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5.1697011836610365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5.6843418860808015E-14</v>
      </c>
      <c r="BE186" s="14">
        <f>BD186*VLOOKUP('Données projet'!$B$11,Paramètres!$A$1:$I$89,3,0)*VLOOKUP('Données projet'!$B$11,Paramètres!$A$1:$I$89,5,0)</f>
        <v>6.1186256061773749E-14</v>
      </c>
      <c r="BF186" s="14">
        <f t="shared" si="167"/>
        <v>9.7328366192051127E-13</v>
      </c>
      <c r="BG186" s="22">
        <f t="shared" si="168"/>
        <v>1.8017017738191463E-12</v>
      </c>
      <c r="BH186" s="62">
        <f t="shared" si="116"/>
        <v>289.60612764011478</v>
      </c>
      <c r="BI186" s="62">
        <f ca="1">AVERAGE(OFFSET($BH$3,0,0,'Données projet'!$E$11+1,1))-AVERAGE(OFFSET($H$3,0,0,'Données projet'!$E$11+1,1))</f>
        <v>287.77879820226661</v>
      </c>
      <c r="BJ186" s="62">
        <f t="shared" si="146"/>
        <v>202.51334141855753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5.753377123751803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5.753377123751803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435.66722289172486</v>
      </c>
      <c r="T187" s="62">
        <f t="shared" si="142"/>
        <v>297.32483725004136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30.475986903131101</v>
      </c>
      <c r="AA187" s="23">
        <f>EXP(-LN(2)/25)*AA186+(1-EXP(-LN(2)/25))/(LN(2)/25)*Calculateur!V187*Calculateur!X187*VLOOKUP('Données projet'!$B$9,Paramètres!$A$1:$I$89,3,0)*0.475*44/12</f>
        <v>5.3435636612656232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35.819550564396721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5.6843418860808015E-14</v>
      </c>
      <c r="AJ187" s="14">
        <f>AI187*VLOOKUP('Données projet'!$B$10,Paramètres!$A$1:$I$89,3,0)*VLOOKUP('Données projet'!$B$10,Paramètres!$A$1:$I$89,5,0)</f>
        <v>5.4978954722173515E-14</v>
      </c>
      <c r="AK187" s="14">
        <f t="shared" si="164"/>
        <v>8.8550225887742724E-13</v>
      </c>
      <c r="AL187" s="22">
        <f t="shared" si="165"/>
        <v>1.6380047803526383E-12</v>
      </c>
      <c r="AM187" s="62">
        <f t="shared" si="113"/>
        <v>289.67078632610838</v>
      </c>
      <c r="AN187" s="62">
        <f ca="1">AVERAGE(OFFSET($AM$3,0,0,'Données projet'!$E$10+1,1))-AVERAGE(OFFSET($H$3,0,0,'Données projet'!$E$10+1,1))</f>
        <v>265.30115826265654</v>
      </c>
      <c r="AO187" s="62">
        <f t="shared" si="144"/>
        <v>187.99130270616999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5.0283354329310557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5.0283354329310557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5.6843418860808015E-14</v>
      </c>
      <c r="BE187" s="14">
        <f>BD187*VLOOKUP('Données projet'!$B$11,Paramètres!$A$1:$I$89,3,0)*VLOOKUP('Données projet'!$B$11,Paramètres!$A$1:$I$89,5,0)</f>
        <v>6.1186256061773749E-14</v>
      </c>
      <c r="BF187" s="14">
        <f t="shared" si="167"/>
        <v>9.7328366192051127E-13</v>
      </c>
      <c r="BG187" s="22">
        <f t="shared" si="168"/>
        <v>1.8017017738191463E-12</v>
      </c>
      <c r="BH187" s="62">
        <f t="shared" si="116"/>
        <v>289.67078632610855</v>
      </c>
      <c r="BI187" s="62">
        <f ca="1">AVERAGE(OFFSET($BH$3,0,0,'Données projet'!$E$11+1,1))-AVERAGE(OFFSET($H$3,0,0,'Données projet'!$E$11+1,1))</f>
        <v>287.77879820226661</v>
      </c>
      <c r="BJ187" s="62">
        <f t="shared" si="146"/>
        <v>202.51334141855753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5.5960507237458561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5.5960507237458561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435.66722289172486</v>
      </c>
      <c r="T188" s="62">
        <f t="shared" si="142"/>
        <v>297.32483725004136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29.878371388477248</v>
      </c>
      <c r="AA188" s="23">
        <f>EXP(-LN(2)/25)*AA187+(1-EXP(-LN(2)/25))/(LN(2)/25)*Calculateur!V188*Calculateur!X188*VLOOKUP('Données projet'!$B$9,Paramètres!$A$1:$I$89,3,0)*0.475*44/12</f>
        <v>5.197443631942515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35.075815020419761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5.6843418860808015E-14</v>
      </c>
      <c r="AJ188" s="14">
        <f>AI188*VLOOKUP('Données projet'!$B$10,Paramètres!$A$1:$I$89,3,0)*VLOOKUP('Données projet'!$B$10,Paramètres!$A$1:$I$89,5,0)</f>
        <v>5.4978954722173515E-14</v>
      </c>
      <c r="AK188" s="14">
        <f t="shared" si="164"/>
        <v>8.8550225887742724E-13</v>
      </c>
      <c r="AL188" s="22">
        <f t="shared" si="165"/>
        <v>1.6380047803526383E-12</v>
      </c>
      <c r="AM188" s="62">
        <f t="shared" si="113"/>
        <v>289.73432332845539</v>
      </c>
      <c r="AN188" s="62">
        <f ca="1">AVERAGE(OFFSET($AM$3,0,0,'Données projet'!$E$10+1,1))-AVERAGE(OFFSET($H$3,0,0,'Données projet'!$E$10+1,1))</f>
        <v>265.30115826265654</v>
      </c>
      <c r="AO188" s="62">
        <f t="shared" si="144"/>
        <v>187.99130270616999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4.8908353360888883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4.8908353360888883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5.6843418860808015E-14</v>
      </c>
      <c r="BE188" s="14">
        <f>BD188*VLOOKUP('Données projet'!$B$11,Paramètres!$A$1:$I$89,3,0)*VLOOKUP('Données projet'!$B$11,Paramètres!$A$1:$I$89,5,0)</f>
        <v>6.1186256061773749E-14</v>
      </c>
      <c r="BF188" s="14">
        <f t="shared" si="167"/>
        <v>9.7328366192051127E-13</v>
      </c>
      <c r="BG188" s="22">
        <f t="shared" si="168"/>
        <v>1.8017017738191463E-12</v>
      </c>
      <c r="BH188" s="62">
        <f t="shared" si="116"/>
        <v>289.73432332845556</v>
      </c>
      <c r="BI188" s="62">
        <f ca="1">AVERAGE(OFFSET($BH$3,0,0,'Données projet'!$E$11+1,1))-AVERAGE(OFFSET($H$3,0,0,'Données projet'!$E$11+1,1))</f>
        <v>287.77879820226661</v>
      </c>
      <c r="BJ188" s="62">
        <f t="shared" si="146"/>
        <v>202.51334141855753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5.4430264224215081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5.4430264224215081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435.66722289172486</v>
      </c>
      <c r="T189" s="62">
        <f t="shared" si="142"/>
        <v>297.32483725004136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29.292474749556284</v>
      </c>
      <c r="AA189" s="23">
        <f>EXP(-LN(2)/25)*AA188+(1-EXP(-LN(2)/25))/(LN(2)/25)*Calculateur!V189*Calculateur!X189*VLOOKUP('Données projet'!$B$9,Paramètres!$A$1:$I$89,3,0)*0.475*44/12</f>
        <v>5.0553192625053649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34.347794012061648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5.6843418860808015E-14</v>
      </c>
      <c r="AJ189" s="14">
        <f>AI189*VLOOKUP('Données projet'!$B$10,Paramètres!$A$1:$I$89,3,0)*VLOOKUP('Données projet'!$B$10,Paramètres!$A$1:$I$89,5,0)</f>
        <v>5.4978954722173515E-14</v>
      </c>
      <c r="AK189" s="14">
        <f t="shared" si="164"/>
        <v>8.8550225887742724E-13</v>
      </c>
      <c r="AL189" s="22">
        <f t="shared" si="165"/>
        <v>1.6380047803526383E-12</v>
      </c>
      <c r="AM189" s="62">
        <f t="shared" si="113"/>
        <v>289.79675810585906</v>
      </c>
      <c r="AN189" s="62">
        <f ca="1">AVERAGE(OFFSET($AM$3,0,0,'Données projet'!$E$10+1,1))-AVERAGE(OFFSET($H$3,0,0,'Données projet'!$E$10+1,1))</f>
        <v>265.30115826265654</v>
      </c>
      <c r="AO189" s="62">
        <f t="shared" si="144"/>
        <v>187.99130270616999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4.7570951866256852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4.7570951866256852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5.6843418860808015E-14</v>
      </c>
      <c r="BE189" s="14">
        <f>BD189*VLOOKUP('Données projet'!$B$11,Paramètres!$A$1:$I$89,3,0)*VLOOKUP('Données projet'!$B$11,Paramètres!$A$1:$I$89,5,0)</f>
        <v>6.1186256061773749E-14</v>
      </c>
      <c r="BF189" s="14">
        <f t="shared" si="167"/>
        <v>9.7328366192051127E-13</v>
      </c>
      <c r="BG189" s="22">
        <f t="shared" si="168"/>
        <v>1.8017017738191463E-12</v>
      </c>
      <c r="BH189" s="62">
        <f t="shared" si="116"/>
        <v>289.79675810585923</v>
      </c>
      <c r="BI189" s="62">
        <f ca="1">AVERAGE(OFFSET($BH$3,0,0,'Données projet'!$E$11+1,1))-AVERAGE(OFFSET($H$3,0,0,'Données projet'!$E$11+1,1))</f>
        <v>287.77879820226661</v>
      </c>
      <c r="BJ189" s="62">
        <f t="shared" si="146"/>
        <v>202.51334141855753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5.2941865786640729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5.2941865786640729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435.66722289172486</v>
      </c>
      <c r="T190" s="62">
        <f t="shared" si="142"/>
        <v>297.32483725004136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28.718067186362898</v>
      </c>
      <c r="AA190" s="23">
        <f>EXP(-LN(2)/25)*AA189+(1-EXP(-LN(2)/25))/(LN(2)/25)*Calculateur!V190*Calculateur!X190*VLOOKUP('Données projet'!$B$9,Paramètres!$A$1:$I$89,3,0)*0.475*44/12</f>
        <v>4.9170812914244699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33.635148477787368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5.6843418860808015E-14</v>
      </c>
      <c r="AJ190" s="14">
        <f>AI190*VLOOKUP('Données projet'!$B$10,Paramètres!$A$1:$I$89,3,0)*VLOOKUP('Données projet'!$B$10,Paramètres!$A$1:$I$89,5,0)</f>
        <v>5.4978954722173515E-14</v>
      </c>
      <c r="AK190" s="14">
        <f t="shared" si="164"/>
        <v>8.8550225887742724E-13</v>
      </c>
      <c r="AL190" s="22">
        <f t="shared" si="165"/>
        <v>1.6380047803526383E-12</v>
      </c>
      <c r="AM190" s="62">
        <f t="shared" si="113"/>
        <v>289.85810977945806</v>
      </c>
      <c r="AN190" s="62">
        <f ca="1">AVERAGE(OFFSET($AM$3,0,0,'Données projet'!$E$10+1,1))-AVERAGE(OFFSET($H$3,0,0,'Données projet'!$E$10+1,1))</f>
        <v>265.30115826265654</v>
      </c>
      <c r="AO190" s="62">
        <f t="shared" si="144"/>
        <v>187.99130270616999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4.6270121685826426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4.6270121685826426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5.6843418860808015E-14</v>
      </c>
      <c r="BE190" s="14">
        <f>BD190*VLOOKUP('Données projet'!$B$11,Paramètres!$A$1:$I$89,3,0)*VLOOKUP('Données projet'!$B$11,Paramètres!$A$1:$I$89,5,0)</f>
        <v>6.1186256061773749E-14</v>
      </c>
      <c r="BF190" s="14">
        <f t="shared" si="167"/>
        <v>9.7328366192051127E-13</v>
      </c>
      <c r="BG190" s="22">
        <f t="shared" si="168"/>
        <v>1.8017017738191463E-12</v>
      </c>
      <c r="BH190" s="62">
        <f t="shared" si="116"/>
        <v>289.85810977945823</v>
      </c>
      <c r="BI190" s="62">
        <f ca="1">AVERAGE(OFFSET($BH$3,0,0,'Données projet'!$E$11+1,1))-AVERAGE(OFFSET($H$3,0,0,'Données projet'!$E$11+1,1))</f>
        <v>287.77879820226661</v>
      </c>
      <c r="BJ190" s="62">
        <f t="shared" si="146"/>
        <v>202.51334141855753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5.1494167682613314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5.1494167682613314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435.66722289172486</v>
      </c>
      <c r="T191" s="62">
        <f t="shared" si="142"/>
        <v>297.32483725004136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28.154923405129715</v>
      </c>
      <c r="AA191" s="23">
        <f>EXP(-LN(2)/25)*AA190+(1-EXP(-LN(2)/25))/(LN(2)/25)*Calculateur!V191*Calculateur!X191*VLOOKUP('Données projet'!$B$9,Paramètres!$A$1:$I$89,3,0)*0.475*44/12</f>
        <v>4.7826234449324012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32.93754685006212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5.6843418860808015E-14</v>
      </c>
      <c r="AJ191" s="14">
        <f>AI191*VLOOKUP('Données projet'!$B$10,Paramètres!$A$1:$I$89,3,0)*VLOOKUP('Données projet'!$B$10,Paramètres!$A$1:$I$89,5,0)</f>
        <v>5.4978954722173515E-14</v>
      </c>
      <c r="AK191" s="14">
        <f t="shared" si="164"/>
        <v>8.8550225887742724E-13</v>
      </c>
      <c r="AL191" s="22">
        <f t="shared" si="165"/>
        <v>1.6380047803526383E-12</v>
      </c>
      <c r="AM191" s="62">
        <f t="shared" si="113"/>
        <v>289.91839713868188</v>
      </c>
      <c r="AN191" s="62">
        <f ca="1">AVERAGE(OFFSET($AM$3,0,0,'Données projet'!$E$10+1,1))-AVERAGE(OFFSET($H$3,0,0,'Données projet'!$E$10+1,1))</f>
        <v>265.30115826265654</v>
      </c>
      <c r="AO191" s="62">
        <f t="shared" si="144"/>
        <v>187.99130270616999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4.5004862775087551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4.5004862775087551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5.6843418860808015E-14</v>
      </c>
      <c r="BE191" s="14">
        <f>BD191*VLOOKUP('Données projet'!$B$11,Paramètres!$A$1:$I$89,3,0)*VLOOKUP('Données projet'!$B$11,Paramètres!$A$1:$I$89,5,0)</f>
        <v>6.1186256061773749E-14</v>
      </c>
      <c r="BF191" s="14">
        <f t="shared" si="167"/>
        <v>9.7328366192051127E-13</v>
      </c>
      <c r="BG191" s="22">
        <f t="shared" si="168"/>
        <v>1.8017017738191463E-12</v>
      </c>
      <c r="BH191" s="62">
        <f t="shared" si="116"/>
        <v>289.91839713868205</v>
      </c>
      <c r="BI191" s="62">
        <f ca="1">AVERAGE(OFFSET($BH$3,0,0,'Données projet'!$E$11+1,1))-AVERAGE(OFFSET($H$3,0,0,'Données projet'!$E$11+1,1))</f>
        <v>287.77879820226661</v>
      </c>
      <c r="BJ191" s="62">
        <f t="shared" si="146"/>
        <v>202.51334141855753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5.0086056959371668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5.0086056959371668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435.66722289172486</v>
      </c>
      <c r="T192" s="62">
        <f t="shared" si="142"/>
        <v>297.32483725004136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27.602822529962726</v>
      </c>
      <c r="AA192" s="23">
        <f>EXP(-LN(2)/25)*AA191+(1-EXP(-LN(2)/25))/(LN(2)/25)*Calculateur!V192*Calculateur!X192*VLOOKUP('Données projet'!$B$9,Paramètres!$A$1:$I$89,3,0)*0.475*44/12</f>
        <v>4.6518423553234882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32.254664885286218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5.6843418860808015E-14</v>
      </c>
      <c r="AJ192" s="14">
        <f>AI192*VLOOKUP('Données projet'!$B$10,Paramètres!$A$1:$I$89,3,0)*VLOOKUP('Données projet'!$B$10,Paramètres!$A$1:$I$89,5,0)</f>
        <v>5.4978954722173515E-14</v>
      </c>
      <c r="AK192" s="14">
        <f t="shared" si="164"/>
        <v>8.8550225887742724E-13</v>
      </c>
      <c r="AL192" s="22">
        <f t="shared" si="165"/>
        <v>1.6380047803526383E-12</v>
      </c>
      <c r="AM192" s="62">
        <f t="shared" si="113"/>
        <v>289.97763864700551</v>
      </c>
      <c r="AN192" s="62">
        <f ca="1">AVERAGE(OFFSET($AM$3,0,0,'Données projet'!$E$10+1,1))-AVERAGE(OFFSET($H$3,0,0,'Données projet'!$E$10+1,1))</f>
        <v>265.30115826265654</v>
      </c>
      <c r="AO192" s="62">
        <f t="shared" si="144"/>
        <v>187.99130270616999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4.3774202435799907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4.3774202435799907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5.6843418860808015E-14</v>
      </c>
      <c r="BE192" s="14">
        <f>BD192*VLOOKUP('Données projet'!$B$11,Paramètres!$A$1:$I$89,3,0)*VLOOKUP('Données projet'!$B$11,Paramètres!$A$1:$I$89,5,0)</f>
        <v>6.1186256061773749E-14</v>
      </c>
      <c r="BF192" s="14">
        <f t="shared" si="167"/>
        <v>9.7328366192051127E-13</v>
      </c>
      <c r="BG192" s="22">
        <f t="shared" si="168"/>
        <v>1.8017017738191463E-12</v>
      </c>
      <c r="BH192" s="62">
        <f t="shared" si="116"/>
        <v>289.97763864700568</v>
      </c>
      <c r="BI192" s="62">
        <f ca="1">AVERAGE(OFFSET($BH$3,0,0,'Données projet'!$E$11+1,1))-AVERAGE(OFFSET($H$3,0,0,'Données projet'!$E$11+1,1))</f>
        <v>287.77879820226661</v>
      </c>
      <c r="BJ192" s="62">
        <f t="shared" si="146"/>
        <v>202.51334141855753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4.8716451097906388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4.8716451097906388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435.66722289172486</v>
      </c>
      <c r="T193" s="62">
        <f t="shared" si="142"/>
        <v>297.32483725004136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27.061548016209478</v>
      </c>
      <c r="AA193" s="23">
        <f>EXP(-LN(2)/25)*AA192+(1-EXP(-LN(2)/25))/(LN(2)/25)*Calculateur!V193*Calculateur!X193*VLOOKUP('Données projet'!$B$9,Paramètres!$A$1:$I$89,3,0)*0.475*44/12</f>
        <v>4.5246374814874102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31.586185497696889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5.6843418860808015E-14</v>
      </c>
      <c r="AJ193" s="14">
        <f>AI193*VLOOKUP('Données projet'!$B$10,Paramètres!$A$1:$I$89,3,0)*VLOOKUP('Données projet'!$B$10,Paramètres!$A$1:$I$89,5,0)</f>
        <v>5.4978954722173515E-14</v>
      </c>
      <c r="AK193" s="14">
        <f t="shared" si="164"/>
        <v>8.8550225887742724E-13</v>
      </c>
      <c r="AL193" s="22">
        <f t="shared" si="165"/>
        <v>1.6380047803526383E-12</v>
      </c>
      <c r="AM193" s="62">
        <f t="shared" si="113"/>
        <v>290.03585244760393</v>
      </c>
      <c r="AN193" s="62">
        <f ca="1">AVERAGE(OFFSET($AM$3,0,0,'Données projet'!$E$10+1,1))-AVERAGE(OFFSET($H$3,0,0,'Données projet'!$E$10+1,1))</f>
        <v>265.30115826265654</v>
      </c>
      <c r="AO193" s="62">
        <f t="shared" si="144"/>
        <v>187.99130270616999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4.2577194568207704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4.2577194568207704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5.6843418860808015E-14</v>
      </c>
      <c r="BE193" s="14">
        <f>BD193*VLOOKUP('Données projet'!$B$11,Paramètres!$A$1:$I$89,3,0)*VLOOKUP('Données projet'!$B$11,Paramètres!$A$1:$I$89,5,0)</f>
        <v>6.1186256061773749E-14</v>
      </c>
      <c r="BF193" s="14">
        <f t="shared" si="167"/>
        <v>9.7328366192051127E-13</v>
      </c>
      <c r="BG193" s="22">
        <f t="shared" si="168"/>
        <v>1.8017017738191463E-12</v>
      </c>
      <c r="BH193" s="62">
        <f t="shared" si="116"/>
        <v>290.0358524476041</v>
      </c>
      <c r="BI193" s="62">
        <f ca="1">AVERAGE(OFFSET($BH$3,0,0,'Données projet'!$E$11+1,1))-AVERAGE(OFFSET($H$3,0,0,'Données projet'!$E$11+1,1))</f>
        <v>287.77879820226661</v>
      </c>
      <c r="BJ193" s="62">
        <f t="shared" si="146"/>
        <v>202.51334141855753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4.7384297180747321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4.7384297180747321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435.66722289172486</v>
      </c>
      <c r="T194" s="62">
        <f t="shared" si="142"/>
        <v>297.32483725004136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26.530887565526076</v>
      </c>
      <c r="AA194" s="23">
        <f>EXP(-LN(2)/25)*AA193+(1-EXP(-LN(2)/25))/(LN(2)/25)*Calculateur!V194*Calculateur!X194*VLOOKUP('Données projet'!$B$9,Paramètres!$A$1:$I$89,3,0)*0.475*44/12</f>
        <v>4.4009110316157933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30.931798597141871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5.6843418860808015E-14</v>
      </c>
      <c r="AJ194" s="14">
        <f>AI194*VLOOKUP('Données projet'!$B$10,Paramètres!$A$1:$I$89,3,0)*VLOOKUP('Données projet'!$B$10,Paramètres!$A$1:$I$89,5,0)</f>
        <v>5.4978954722173515E-14</v>
      </c>
      <c r="AK194" s="14">
        <f t="shared" si="164"/>
        <v>8.8550225887742724E-13</v>
      </c>
      <c r="AL194" s="22">
        <f t="shared" si="165"/>
        <v>1.6380047803526383E-12</v>
      </c>
      <c r="AM194" s="62">
        <f t="shared" si="113"/>
        <v>290.09305636890849</v>
      </c>
      <c r="AN194" s="62">
        <f ca="1">AVERAGE(OFFSET($AM$3,0,0,'Données projet'!$E$10+1,1))-AVERAGE(OFFSET($H$3,0,0,'Données projet'!$E$10+1,1))</f>
        <v>265.30115826265654</v>
      </c>
      <c r="AO194" s="62">
        <f t="shared" si="144"/>
        <v>187.99130270616999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4.141291894370271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4.141291894370271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5.6843418860808015E-14</v>
      </c>
      <c r="BE194" s="14">
        <f>BD194*VLOOKUP('Données projet'!$B$11,Paramètres!$A$1:$I$89,3,0)*VLOOKUP('Données projet'!$B$11,Paramètres!$A$1:$I$89,5,0)</f>
        <v>6.1186256061773749E-14</v>
      </c>
      <c r="BF194" s="14">
        <f t="shared" si="167"/>
        <v>9.7328366192051127E-13</v>
      </c>
      <c r="BG194" s="22">
        <f t="shared" si="168"/>
        <v>1.8017017738191463E-12</v>
      </c>
      <c r="BH194" s="62">
        <f t="shared" si="116"/>
        <v>290.09305636890866</v>
      </c>
      <c r="BI194" s="62">
        <f ca="1">AVERAGE(OFFSET($BH$3,0,0,'Données projet'!$E$11+1,1))-AVERAGE(OFFSET($H$3,0,0,'Données projet'!$E$11+1,1))</f>
        <v>287.77879820226661</v>
      </c>
      <c r="BJ194" s="62">
        <f t="shared" si="146"/>
        <v>202.51334141855753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4.6088571082507892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4.6088571082507892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435.66722289172486</v>
      </c>
      <c r="T195" s="62">
        <f t="shared" si="142"/>
        <v>297.32483725004136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26.010633042609662</v>
      </c>
      <c r="AA195" s="23">
        <f>EXP(-LN(2)/25)*AA194+(1-EXP(-LN(2)/25))/(LN(2)/25)*Calculateur!V195*Calculateur!X195*VLOOKUP('Données projet'!$B$9,Paramètres!$A$1:$I$89,3,0)*0.475*44/12</f>
        <v>4.2805678880224072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30.291200930632069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5.6843418860808015E-14</v>
      </c>
      <c r="AJ195" s="14">
        <f>AI195*VLOOKUP('Données projet'!$B$10,Paramètres!$A$1:$I$89,3,0)*VLOOKUP('Données projet'!$B$10,Paramètres!$A$1:$I$89,5,0)</f>
        <v>5.4978954722173515E-14</v>
      </c>
      <c r="AK195" s="14">
        <f t="shared" si="164"/>
        <v>8.8550225887742724E-13</v>
      </c>
      <c r="AL195" s="22">
        <f t="shared" si="165"/>
        <v>1.6380047803526383E-12</v>
      </c>
      <c r="AM195" s="62">
        <f t="shared" si="113"/>
        <v>290.14926793006731</v>
      </c>
      <c r="AN195" s="62">
        <f ca="1">AVERAGE(OFFSET($AM$3,0,0,'Données projet'!$E$10+1,1))-AVERAGE(OFFSET($H$3,0,0,'Données projet'!$E$10+1,1))</f>
        <v>265.30115826265654</v>
      </c>
      <c r="AO195" s="62">
        <f t="shared" si="144"/>
        <v>187.99130270616999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4.0280480497376399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4.0280480497376399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5.6843418860808015E-14</v>
      </c>
      <c r="BE195" s="14">
        <f>BD195*VLOOKUP('Données projet'!$B$11,Paramètres!$A$1:$I$89,3,0)*VLOOKUP('Données projet'!$B$11,Paramètres!$A$1:$I$89,5,0)</f>
        <v>6.1186256061773749E-14</v>
      </c>
      <c r="BF195" s="14">
        <f t="shared" si="167"/>
        <v>9.7328366192051127E-13</v>
      </c>
      <c r="BG195" s="22">
        <f t="shared" si="168"/>
        <v>1.8017017738191463E-12</v>
      </c>
      <c r="BH195" s="62">
        <f t="shared" si="116"/>
        <v>290.14926793006748</v>
      </c>
      <c r="BI195" s="62">
        <f ca="1">AVERAGE(OFFSET($BH$3,0,0,'Données projet'!$E$11+1,1))-AVERAGE(OFFSET($H$3,0,0,'Données projet'!$E$11+1,1))</f>
        <v>287.77879820226661</v>
      </c>
      <c r="BJ195" s="62">
        <f t="shared" si="146"/>
        <v>202.51334141855753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4.4828276682564097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4.4828276682564097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435.66722289172486</v>
      </c>
      <c r="T196" s="62">
        <f t="shared" si="142"/>
        <v>297.32483725004136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25.500580393563713</v>
      </c>
      <c r="AA196" s="23">
        <f>EXP(-LN(2)/25)*AA195+(1-EXP(-LN(2)/25))/(LN(2)/25)*Calculateur!V196*Calculateur!X196*VLOOKUP('Données projet'!$B$9,Paramètres!$A$1:$I$89,3,0)*0.475*44/12</f>
        <v>4.1635155340191528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29.664095927582864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5.6843418860808015E-14</v>
      </c>
      <c r="AJ196" s="14">
        <f>AI196*VLOOKUP('Données projet'!$B$10,Paramètres!$A$1:$I$89,3,0)*VLOOKUP('Données projet'!$B$10,Paramètres!$A$1:$I$89,5,0)</f>
        <v>5.4978954722173515E-14</v>
      </c>
      <c r="AK196" s="14">
        <f t="shared" si="164"/>
        <v>8.8550225887742724E-13</v>
      </c>
      <c r="AL196" s="22">
        <f t="shared" si="165"/>
        <v>1.6380047803526383E-12</v>
      </c>
      <c r="AM196" s="62">
        <f t="shared" ref="AM196:AM203" si="193">AL196+(AD196+AE196)*44/12</f>
        <v>290.20450434631016</v>
      </c>
      <c r="AN196" s="62">
        <f ca="1">AVERAGE(OFFSET($AM$3,0,0,'Données projet'!$E$10+1,1))-AVERAGE(OFFSET($H$3,0,0,'Données projet'!$E$10+1,1))</f>
        <v>265.30115826265654</v>
      </c>
      <c r="AO196" s="62">
        <f t="shared" si="144"/>
        <v>187.99130270616999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3.9179008639917234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3.9179008639917234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5.6843418860808015E-14</v>
      </c>
      <c r="BE196" s="14">
        <f>BD196*VLOOKUP('Données projet'!$B$11,Paramètres!$A$1:$I$89,3,0)*VLOOKUP('Données projet'!$B$11,Paramètres!$A$1:$I$89,5,0)</f>
        <v>6.1186256061773749E-14</v>
      </c>
      <c r="BF196" s="14">
        <f t="shared" si="167"/>
        <v>9.7328366192051127E-13</v>
      </c>
      <c r="BG196" s="22">
        <f t="shared" si="168"/>
        <v>1.8017017738191463E-12</v>
      </c>
      <c r="BH196" s="62">
        <f t="shared" ref="BH196:BH203" si="194">BG196+(AY196+AZ196)*44/12</f>
        <v>290.20450434631033</v>
      </c>
      <c r="BI196" s="62">
        <f ca="1">AVERAGE(OFFSET($BH$3,0,0,'Données projet'!$E$11+1,1))-AVERAGE(OFFSET($H$3,0,0,'Données projet'!$E$11+1,1))</f>
        <v>287.77879820226661</v>
      </c>
      <c r="BJ196" s="62">
        <f t="shared" si="146"/>
        <v>202.51334141855753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4.360244509926277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4.360244509926277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435.66722289172486</v>
      </c>
      <c r="T197" s="62">
        <f t="shared" ref="T197:T203" si="204">$T$3</f>
        <v>297.32483725004136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25.000529565864156</v>
      </c>
      <c r="AA197" s="23">
        <f>EXP(-LN(2)/25)*AA196+(1-EXP(-LN(2)/25))/(LN(2)/25)*Calculateur!V197*Calculateur!X197*VLOOKUP('Données projet'!$B$9,Paramètres!$A$1:$I$89,3,0)*0.475*44/12</f>
        <v>4.0496639827916328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29.050193548655788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5.6843418860808015E-14</v>
      </c>
      <c r="AJ197" s="14">
        <f>AI197*VLOOKUP('Données projet'!$B$10,Paramètres!$A$1:$I$89,3,0)*VLOOKUP('Données projet'!$B$10,Paramètres!$A$1:$I$89,5,0)</f>
        <v>5.4978954722173515E-14</v>
      </c>
      <c r="AK197" s="14">
        <f t="shared" si="164"/>
        <v>8.8550225887742724E-13</v>
      </c>
      <c r="AL197" s="22">
        <f t="shared" si="165"/>
        <v>1.6380047803526383E-12</v>
      </c>
      <c r="AM197" s="62">
        <f t="shared" si="193"/>
        <v>290.25878253422138</v>
      </c>
      <c r="AN197" s="62">
        <f ca="1">AVERAGE(OFFSET($AM$3,0,0,'Données projet'!$E$10+1,1))-AVERAGE(OFFSET($H$3,0,0,'Données projet'!$E$10+1,1))</f>
        <v>265.30115826265654</v>
      </c>
      <c r="AO197" s="62">
        <f t="shared" ref="AO197:AO203" si="205">$AO$3</f>
        <v>187.99130270616999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3.8107656588324179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3.8107656588324179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5.6843418860808015E-14</v>
      </c>
      <c r="BE197" s="14">
        <f>BD197*VLOOKUP('Données projet'!$B$11,Paramètres!$A$1:$I$89,3,0)*VLOOKUP('Données projet'!$B$11,Paramètres!$A$1:$I$89,5,0)</f>
        <v>6.1186256061773749E-14</v>
      </c>
      <c r="BF197" s="14">
        <f t="shared" si="167"/>
        <v>9.7328366192051127E-13</v>
      </c>
      <c r="BG197" s="22">
        <f t="shared" si="168"/>
        <v>1.8017017738191463E-12</v>
      </c>
      <c r="BH197" s="62">
        <f t="shared" si="194"/>
        <v>290.25878253422155</v>
      </c>
      <c r="BI197" s="62">
        <f ca="1">AVERAGE(OFFSET($BH$3,0,0,'Données projet'!$E$11+1,1))-AVERAGE(OFFSET($H$3,0,0,'Données projet'!$E$11+1,1))</f>
        <v>287.77879820226661</v>
      </c>
      <c r="BJ197" s="62">
        <f t="shared" ref="BJ197:BJ203" si="206">$BJ$3</f>
        <v>202.51334141855753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4.2410133945070498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4.2410133945070498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435.66722289172486</v>
      </c>
      <c r="T198" s="62">
        <f t="shared" si="204"/>
        <v>297.32483725004136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24.510284429894899</v>
      </c>
      <c r="AA198" s="23">
        <f>EXP(-LN(2)/25)*AA197+(1-EXP(-LN(2)/25))/(LN(2)/25)*Calculateur!V198*Calculateur!X198*VLOOKUP('Données projet'!$B$9,Paramètres!$A$1:$I$89,3,0)*0.475*44/12</f>
        <v>3.9389257082196223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28.44921013811452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5.6843418860808015E-14</v>
      </c>
      <c r="AJ198" s="14">
        <f>AI198*VLOOKUP('Données projet'!$B$10,Paramètres!$A$1:$I$89,3,0)*VLOOKUP('Données projet'!$B$10,Paramètres!$A$1:$I$89,5,0)</f>
        <v>5.4978954722173515E-14</v>
      </c>
      <c r="AK198" s="14">
        <f t="shared" si="164"/>
        <v>8.8550225887742724E-13</v>
      </c>
      <c r="AL198" s="22">
        <f t="shared" si="165"/>
        <v>1.6380047803526383E-12</v>
      </c>
      <c r="AM198" s="62">
        <f t="shared" si="193"/>
        <v>290.31211911692014</v>
      </c>
      <c r="AN198" s="62">
        <f ca="1">AVERAGE(OFFSET($AM$3,0,0,'Données projet'!$E$10+1,1))-AVERAGE(OFFSET($H$3,0,0,'Données projet'!$E$10+1,1))</f>
        <v>265.30115826265654</v>
      </c>
      <c r="AO198" s="62">
        <f t="shared" si="205"/>
        <v>187.99130270616999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3.7065600714921891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3.7065600714921891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5.6843418860808015E-14</v>
      </c>
      <c r="BE198" s="14">
        <f>BD198*VLOOKUP('Données projet'!$B$11,Paramètres!$A$1:$I$89,3,0)*VLOOKUP('Données projet'!$B$11,Paramètres!$A$1:$I$89,5,0)</f>
        <v>6.1186256061773749E-14</v>
      </c>
      <c r="BF198" s="14">
        <f t="shared" si="167"/>
        <v>9.7328366192051127E-13</v>
      </c>
      <c r="BG198" s="22">
        <f t="shared" si="168"/>
        <v>1.8017017738191463E-12</v>
      </c>
      <c r="BH198" s="62">
        <f t="shared" si="194"/>
        <v>290.31211911692031</v>
      </c>
      <c r="BI198" s="62">
        <f ca="1">AVERAGE(OFFSET($BH$3,0,0,'Données projet'!$E$11+1,1))-AVERAGE(OFFSET($H$3,0,0,'Données projet'!$E$11+1,1))</f>
        <v>287.77879820226661</v>
      </c>
      <c r="BJ198" s="62">
        <f t="shared" si="206"/>
        <v>202.51334141855753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4.1250426602090533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4.1250426602090533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435.66722289172486</v>
      </c>
      <c r="T199" s="62">
        <f t="shared" si="204"/>
        <v>297.32483725004136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24.029652702021991</v>
      </c>
      <c r="AA199" s="23">
        <f>EXP(-LN(2)/25)*AA198+(1-EXP(-LN(2)/25))/(LN(2)/25)*Calculateur!V199*Calculateur!X199*VLOOKUP('Données projet'!$B$9,Paramètres!$A$1:$I$89,3,0)*0.475*44/12</f>
        <v>3.8312155775892562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27.860868279611246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5.6843418860808015E-14</v>
      </c>
      <c r="AJ199" s="14">
        <f>AI199*VLOOKUP('Données projet'!$B$10,Paramètres!$A$1:$I$89,3,0)*VLOOKUP('Données projet'!$B$10,Paramètres!$A$1:$I$89,5,0)</f>
        <v>5.4978954722173515E-14</v>
      </c>
      <c r="AK199" s="14">
        <f t="shared" si="164"/>
        <v>8.8550225887742724E-13</v>
      </c>
      <c r="AL199" s="22">
        <f t="shared" si="165"/>
        <v>1.6380047803526383E-12</v>
      </c>
      <c r="AM199" s="62">
        <f t="shared" si="193"/>
        <v>290.36453042915184</v>
      </c>
      <c r="AN199" s="62">
        <f ca="1">AVERAGE(OFFSET($AM$3,0,0,'Données projet'!$E$10+1,1))-AVERAGE(OFFSET($H$3,0,0,'Données projet'!$E$10+1,1))</f>
        <v>265.30115826265654</v>
      </c>
      <c r="AO199" s="62">
        <f t="shared" si="205"/>
        <v>187.99130270616999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3.6052039914177123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3.6052039914177123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5.6843418860808015E-14</v>
      </c>
      <c r="BE199" s="14">
        <f>BD199*VLOOKUP('Données projet'!$B$11,Paramètres!$A$1:$I$89,3,0)*VLOOKUP('Données projet'!$B$11,Paramètres!$A$1:$I$89,5,0)</f>
        <v>6.1186256061773749E-14</v>
      </c>
      <c r="BF199" s="14">
        <f t="shared" si="167"/>
        <v>9.7328366192051127E-13</v>
      </c>
      <c r="BG199" s="22">
        <f t="shared" si="168"/>
        <v>1.8017017738191463E-12</v>
      </c>
      <c r="BH199" s="62">
        <f t="shared" si="194"/>
        <v>290.36453042915201</v>
      </c>
      <c r="BI199" s="62">
        <f ca="1">AVERAGE(OFFSET($BH$3,0,0,'Données projet'!$E$11+1,1))-AVERAGE(OFFSET($H$3,0,0,'Données projet'!$E$11+1,1))</f>
        <v>287.77879820226661</v>
      </c>
      <c r="BJ199" s="62">
        <f t="shared" si="206"/>
        <v>202.51334141855753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4.0122431517390709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4.0122431517390709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435.66722289172486</v>
      </c>
      <c r="T200" s="62">
        <f t="shared" si="204"/>
        <v>297.32483725004136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23.558445869176264</v>
      </c>
      <c r="AA200" s="23">
        <f>EXP(-LN(2)/25)*AA199+(1-EXP(-LN(2)/25))/(LN(2)/25)*Calculateur!V200*Calculateur!X200*VLOOKUP('Données projet'!$B$9,Paramètres!$A$1:$I$89,3,0)*0.475*44/12</f>
        <v>3.726450786145207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27.284896655321472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5.6843418860808015E-14</v>
      </c>
      <c r="AJ200" s="14">
        <f>AI200*VLOOKUP('Données projet'!$B$10,Paramètres!$A$1:$I$89,3,0)*VLOOKUP('Données projet'!$B$10,Paramètres!$A$1:$I$89,5,0)</f>
        <v>5.4978954722173515E-14</v>
      </c>
      <c r="AK200" s="14">
        <f t="shared" si="164"/>
        <v>8.8550225887742724E-13</v>
      </c>
      <c r="AL200" s="22">
        <f t="shared" si="165"/>
        <v>1.6380047803526383E-12</v>
      </c>
      <c r="AM200" s="62">
        <f t="shared" si="193"/>
        <v>290.41603252229044</v>
      </c>
      <c r="AN200" s="62">
        <f ca="1">AVERAGE(OFFSET($AM$3,0,0,'Données projet'!$E$10+1,1))-AVERAGE(OFFSET($H$3,0,0,'Données projet'!$E$10+1,1))</f>
        <v>265.30115826265654</v>
      </c>
      <c r="AO200" s="62">
        <f t="shared" si="205"/>
        <v>187.99130270616999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3.5066194986829569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3.5066194986829569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5.6843418860808015E-14</v>
      </c>
      <c r="BE200" s="14">
        <f>BD200*VLOOKUP('Données projet'!$B$11,Paramètres!$A$1:$I$89,3,0)*VLOOKUP('Données projet'!$B$11,Paramètres!$A$1:$I$89,5,0)</f>
        <v>6.1186256061773749E-14</v>
      </c>
      <c r="BF200" s="14">
        <f t="shared" si="167"/>
        <v>9.7328366192051127E-13</v>
      </c>
      <c r="BG200" s="22">
        <f t="shared" si="168"/>
        <v>1.8017017738191463E-12</v>
      </c>
      <c r="BH200" s="62">
        <f t="shared" si="194"/>
        <v>290.41603252229061</v>
      </c>
      <c r="BI200" s="62">
        <f ca="1">AVERAGE(OFFSET($BH$3,0,0,'Données projet'!$E$11+1,1))-AVERAGE(OFFSET($H$3,0,0,'Données projet'!$E$11+1,1))</f>
        <v>287.77879820226661</v>
      </c>
      <c r="BJ200" s="62">
        <f t="shared" si="206"/>
        <v>202.51334141855753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3.9025281517600687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3.9025281517600687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435.66722289172486</v>
      </c>
      <c r="T201" s="62">
        <f t="shared" si="204"/>
        <v>297.32483725004136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23.096479114914853</v>
      </c>
      <c r="AA201" s="23">
        <f>EXP(-LN(2)/25)*AA200+(1-EXP(-LN(2)/25))/(LN(2)/25)*Calculateur!V201*Calculateur!X201*VLOOKUP('Données projet'!$B$9,Paramètres!$A$1:$I$89,3,0)*0.475*44/12</f>
        <v>3.6245507934325363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26.72102990834739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5.6843418860808015E-14</v>
      </c>
      <c r="AJ201" s="14">
        <f>AI201*VLOOKUP('Données projet'!$B$10,Paramètres!$A$1:$I$89,3,0)*VLOOKUP('Données projet'!$B$10,Paramètres!$A$1:$I$89,5,0)</f>
        <v>5.4978954722173515E-14</v>
      </c>
      <c r="AK201" s="14">
        <f t="shared" si="164"/>
        <v>8.8550225887742724E-13</v>
      </c>
      <c r="AL201" s="22">
        <f t="shared" si="165"/>
        <v>1.6380047803526383E-12</v>
      </c>
      <c r="AM201" s="62">
        <f t="shared" si="193"/>
        <v>290.46664116925456</v>
      </c>
      <c r="AN201" s="62">
        <f ca="1">AVERAGE(OFFSET($AM$3,0,0,'Données projet'!$E$10+1,1))-AVERAGE(OFFSET($H$3,0,0,'Données projet'!$E$10+1,1))</f>
        <v>265.30115826265654</v>
      </c>
      <c r="AO201" s="62">
        <f t="shared" si="205"/>
        <v>187.99130270616999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3.4107308040863664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3.4107308040863664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5.6843418860808015E-14</v>
      </c>
      <c r="BE201" s="14">
        <f>BD201*VLOOKUP('Données projet'!$B$11,Paramètres!$A$1:$I$89,3,0)*VLOOKUP('Données projet'!$B$11,Paramètres!$A$1:$I$89,5,0)</f>
        <v>6.1186256061773749E-14</v>
      </c>
      <c r="BF201" s="14">
        <f t="shared" si="167"/>
        <v>9.7328366192051127E-13</v>
      </c>
      <c r="BG201" s="22">
        <f t="shared" si="168"/>
        <v>1.8017017738191463E-12</v>
      </c>
      <c r="BH201" s="62">
        <f t="shared" si="194"/>
        <v>290.46664116925473</v>
      </c>
      <c r="BI201" s="62">
        <f ca="1">AVERAGE(OFFSET($BH$3,0,0,'Données projet'!$E$11+1,1))-AVERAGE(OFFSET($H$3,0,0,'Données projet'!$E$11+1,1))</f>
        <v>287.77879820226661</v>
      </c>
      <c r="BJ201" s="62">
        <f t="shared" si="206"/>
        <v>202.51334141855753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3.7958133142251533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3.7958133142251533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435.66722289172486</v>
      </c>
      <c r="T202" s="62">
        <f t="shared" si="204"/>
        <v>297.32483725004136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22.643571246932613</v>
      </c>
      <c r="AA202" s="23">
        <f>EXP(-LN(2)/25)*AA201+(1-EXP(-LN(2)/25))/(LN(2)/25)*Calculateur!V202*Calculateur!X202*VLOOKUP('Données projet'!$B$9,Paramètres!$A$1:$I$89,3,0)*0.475*44/12</f>
        <v>3.5254372613792815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26.169008508311894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5.6843418860808015E-14</v>
      </c>
      <c r="AJ202" s="14">
        <f>AI202*VLOOKUP('Données projet'!$B$10,Paramètres!$A$1:$I$89,3,0)*VLOOKUP('Données projet'!$B$10,Paramètres!$A$1:$I$89,5,0)</f>
        <v>5.4978954722173515E-14</v>
      </c>
      <c r="AK202" s="14">
        <f t="shared" si="164"/>
        <v>8.8550225887742724E-13</v>
      </c>
      <c r="AL202" s="22">
        <f t="shared" si="165"/>
        <v>1.6380047803526383E-12</v>
      </c>
      <c r="AM202" s="62">
        <f t="shared" si="193"/>
        <v>290.51637186933777</v>
      </c>
      <c r="AN202" s="62">
        <f ca="1">AVERAGE(OFFSET($AM$3,0,0,'Données projet'!$E$10+1,1))-AVERAGE(OFFSET($H$3,0,0,'Données projet'!$E$10+1,1))</f>
        <v>265.30115826265654</v>
      </c>
      <c r="AO202" s="62">
        <f t="shared" si="205"/>
        <v>187.99130270616999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3.3174641908860871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3.3174641908860871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5.6843418860808015E-14</v>
      </c>
      <c r="BE202" s="14">
        <f>BD202*VLOOKUP('Données projet'!$B$11,Paramètres!$A$1:$I$89,3,0)*VLOOKUP('Données projet'!$B$11,Paramètres!$A$1:$I$89,5,0)</f>
        <v>6.1186256061773749E-14</v>
      </c>
      <c r="BF202" s="14">
        <f t="shared" si="167"/>
        <v>9.7328366192051127E-13</v>
      </c>
      <c r="BG202" s="22">
        <f t="shared" si="168"/>
        <v>1.8017017738191463E-12</v>
      </c>
      <c r="BH202" s="62">
        <f t="shared" si="194"/>
        <v>290.51637186933795</v>
      </c>
      <c r="BI202" s="62">
        <f ca="1">AVERAGE(OFFSET($BH$3,0,0,'Données projet'!$E$11+1,1))-AVERAGE(OFFSET($H$3,0,0,'Données projet'!$E$11+1,1))</f>
        <v>287.77879820226661</v>
      </c>
      <c r="BJ202" s="62">
        <f t="shared" si="206"/>
        <v>202.51334141855753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3.6920165995345195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3.6920165995345195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435.66722289172486</v>
      </c>
      <c r="T203" s="62">
        <f t="shared" si="204"/>
        <v>297.32483725004136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22.199544625994982</v>
      </c>
      <c r="AA203" s="23">
        <f>EXP(-LN(2)/25)*AA202+(1-EXP(-LN(2)/25))/(LN(2)/25)*Calculateur!V203*Calculateur!X203*VLOOKUP('Données projet'!$B$9,Paramètres!$A$1:$I$89,3,0)*0.475*44/12</f>
        <v>3.429033994072177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25.628578620067159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5.6843418860808015E-14</v>
      </c>
      <c r="AJ203" s="14">
        <f>AI203*VLOOKUP('Données projet'!$B$10,Paramètres!$A$1:$I$89,3,0)*VLOOKUP('Données projet'!$B$10,Paramètres!$A$1:$I$89,5,0)</f>
        <v>5.4978954722173515E-14</v>
      </c>
      <c r="AK203" s="14">
        <f t="shared" si="164"/>
        <v>8.8550225887742724E-13</v>
      </c>
      <c r="AL203" s="22">
        <f t="shared" si="165"/>
        <v>1.6380047803526383E-12</v>
      </c>
      <c r="AM203" s="62">
        <f t="shared" si="193"/>
        <v>290.56523985295576</v>
      </c>
      <c r="AN203" s="62">
        <f ca="1">AVERAGE(OFFSET($AM$3,0,0,'Données projet'!$E$10+1,1))-AVERAGE(OFFSET($H$3,0,0,'Données projet'!$E$10+1,1))</f>
        <v>265.30115826265654</v>
      </c>
      <c r="AO203" s="62">
        <f t="shared" si="205"/>
        <v>187.99130270616999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3.2267479581284473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3.2267479581284473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5.6843418860808015E-14</v>
      </c>
      <c r="BE203" s="14">
        <f>BD203*VLOOKUP('Données projet'!$B$11,Paramètres!$A$1:$I$89,3,0)*VLOOKUP('Données projet'!$B$11,Paramètres!$A$1:$I$89,5,0)</f>
        <v>6.1186256061773749E-14</v>
      </c>
      <c r="BF203" s="14">
        <f t="shared" si="167"/>
        <v>9.7328366192051127E-13</v>
      </c>
      <c r="BG203" s="22">
        <f t="shared" si="168"/>
        <v>1.8017017738191463E-12</v>
      </c>
      <c r="BH203" s="62">
        <f t="shared" si="194"/>
        <v>290.56523985295593</v>
      </c>
      <c r="BI203" s="62">
        <f ca="1">AVERAGE(OFFSET($BH$3,0,0,'Données projet'!$E$11+1,1))-AVERAGE(OFFSET($H$3,0,0,'Données projet'!$E$11+1,1))</f>
        <v>287.77879820226661</v>
      </c>
      <c r="BJ203" s="62">
        <f t="shared" si="206"/>
        <v>202.51334141855753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3.5910582114655334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3.5910582114655334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1.2392705892426346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1.1978710972702193</v>
      </c>
      <c r="BA205" s="88">
        <f>EXP(LN('Données projet'!B88)/'Données projet'!A88)</f>
        <v>1.1978710972702193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P17" sqref="P17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sessile</v>
      </c>
      <c r="B6" s="155">
        <f>'Données projet'!D9</f>
        <v>2.4319000000000002</v>
      </c>
      <c r="C6" s="156">
        <f ca="1">IF(OR('Données projet'!B9="",'Données projet'!C9="",'Données projet'!C9=0%),0,Calculateur!S3)</f>
        <v>435.66722289172486</v>
      </c>
      <c r="D6" s="156">
        <f>IF(OR('Données projet'!B9="",'Données projet'!C9="",'Données projet'!C9=0%),0,Calculateur!T3)</f>
        <v>297.32483725004136</v>
      </c>
      <c r="E6" s="156">
        <f ca="1">MIN(C6,D6)</f>
        <v>297.32483725004136</v>
      </c>
      <c r="F6" s="156">
        <f ca="1">E6*B6</f>
        <v>723.0642717083756</v>
      </c>
      <c r="G6" s="156">
        <f ca="1">F6*(100%-'Données projet'!$C$24)*(100%-'Données projet'!$C$25)*(100%-'Données projet'!$C$26)*(100%-'Données projet'!$C$27)</f>
        <v>650.75784453753806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37.694450000000003</v>
      </c>
      <c r="K6" s="160">
        <f>J6*(100%-'Données projet'!$C$24)*(100%-'Données projet'!$C$25)*(100%-'Données projet'!$C$26)*(100%-'Données projet'!$C$27)</f>
        <v>33.925005000000006</v>
      </c>
      <c r="L6" s="161">
        <f ca="1">G6+I6+K6</f>
        <v>684.68284953753812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Alisier torminal</v>
      </c>
      <c r="B7" s="163">
        <f>'Données projet'!D10</f>
        <v>0.20510000000000003</v>
      </c>
      <c r="C7" s="156">
        <f ca="1">IF(OR('Données projet'!B10="",'Données projet'!C10="",'Données projet'!C10=0%),0,Calculateur!AN3)</f>
        <v>265.30115826265654</v>
      </c>
      <c r="D7" s="156">
        <f>IF(OR('Données projet'!B10="",'Données projet'!C10="",'Données projet'!C10=0%),0,Calculateur!AO3)</f>
        <v>187.99130270616999</v>
      </c>
      <c r="E7" s="156">
        <f t="shared" ref="E7:E15" ca="1" si="0">MIN(C7,D7)</f>
        <v>187.99130270616999</v>
      </c>
      <c r="F7" s="156">
        <f t="shared" ref="F7:F15" ca="1" si="1">E7*B7</f>
        <v>38.557016185035472</v>
      </c>
      <c r="G7" s="156">
        <f ca="1">F7*(100%-'Données projet'!$C$24)*(100%-'Données projet'!$C$25)*(100%-'Données projet'!$C$26)*(100%-'Données projet'!$C$27)</f>
        <v>34.701314566531927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1.5895250000000003</v>
      </c>
      <c r="K7" s="160">
        <f>J7*(100%-'Données projet'!$C$24)*(100%-'Données projet'!$C$25)*(100%-'Données projet'!$C$26)*(100%-'Données projet'!$C$27)</f>
        <v>1.4305725000000002</v>
      </c>
      <c r="L7" s="161">
        <f t="shared" ref="L7:L15" ca="1" si="2">G7+I7+K7</f>
        <v>36.131887066531931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Cormier</v>
      </c>
      <c r="B8" s="163">
        <f>'Données projet'!D11</f>
        <v>0.29300000000000004</v>
      </c>
      <c r="C8" s="156">
        <f ca="1">IF(OR('Données projet'!B11="",'Données projet'!C11="",'Données projet'!C11=0%),0,Calculateur!BI3)</f>
        <v>287.77879820226661</v>
      </c>
      <c r="D8" s="156">
        <f>IF(OR('Données projet'!B11="",'Données projet'!C11="",'Données projet'!C11=0%),0,Calculateur!BJ3)</f>
        <v>202.51334141855753</v>
      </c>
      <c r="E8" s="156">
        <f t="shared" ca="1" si="0"/>
        <v>202.51334141855753</v>
      </c>
      <c r="F8" s="156">
        <f t="shared" ca="1" si="1"/>
        <v>59.336409035637367</v>
      </c>
      <c r="G8" s="156">
        <f ca="1">F8*(100%-'Données projet'!$C$24)*(100%-'Données projet'!$C$25)*(100%-'Données projet'!$C$26)*(100%-'Données projet'!$C$27)</f>
        <v>53.402768132073632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2.2707500000000005</v>
      </c>
      <c r="K8" s="160">
        <f>J8*(100%-'Données projet'!$C$24)*(100%-'Données projet'!$C$25)*(100%-'Données projet'!$C$26)*(100%-'Données projet'!$C$27)</f>
        <v>2.0436750000000004</v>
      </c>
      <c r="L8" s="161">
        <f t="shared" ca="1" si="2"/>
        <v>55.446443132073632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820.95769692904844</v>
      </c>
      <c r="G16" s="175">
        <f t="shared" ca="1" si="3"/>
        <v>738.86192723614363</v>
      </c>
      <c r="H16" s="176">
        <f t="shared" si="3"/>
        <v>0</v>
      </c>
      <c r="I16" s="176">
        <f t="shared" si="3"/>
        <v>0</v>
      </c>
      <c r="J16" s="177">
        <f t="shared" si="3"/>
        <v>41.554725000000005</v>
      </c>
      <c r="K16" s="177">
        <f t="shared" si="3"/>
        <v>37.39925250000001</v>
      </c>
      <c r="L16" s="178">
        <f t="shared" ca="1" si="3"/>
        <v>776.26117973614373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Alisier torminal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Cormier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D2" zoomScale="90" zoomScaleNormal="90" workbookViewId="0">
      <selection activeCell="G74" sqref="G74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1088.9664433363278</v>
      </c>
      <c r="U10" s="190">
        <f>'Données projet'!D9</f>
        <v>2.4319000000000002</v>
      </c>
      <c r="V10" s="189">
        <f>U10*T10</f>
        <v>2648.2574935496154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Alisier torminal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782.04607879628884</v>
      </c>
      <c r="U11" s="190">
        <f>'Données projet'!D10</f>
        <v>0.20510000000000003</v>
      </c>
      <c r="V11" s="189">
        <f t="shared" ref="V11" si="0">U11*T11</f>
        <v>160.39765076111885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Cormier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828.62836233119924</v>
      </c>
      <c r="U12" s="190">
        <f>'Données projet'!D11</f>
        <v>0.29300000000000004</v>
      </c>
      <c r="V12" s="189">
        <f t="shared" ref="V12:V19" si="1">U12*T12</f>
        <v>242.78811016304141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>
        <v>1817</v>
      </c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7753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703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703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6</v>
      </c>
      <c r="C23" s="206">
        <v>5</v>
      </c>
      <c r="D23" s="194">
        <f>B23*C23</f>
        <v>30</v>
      </c>
      <c r="E23" s="206"/>
      <c r="F23" s="261"/>
      <c r="H23" s="203">
        <v>3</v>
      </c>
      <c r="I23" s="204">
        <v>703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-28707.276943934146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25</v>
      </c>
      <c r="B24" s="193">
        <f>'Données projet'!D37</f>
        <v>28</v>
      </c>
      <c r="C24" s="206">
        <v>10</v>
      </c>
      <c r="D24" s="194">
        <f t="shared" ref="D24:D42" si="2">B24*C24</f>
        <v>280</v>
      </c>
      <c r="E24" s="206"/>
      <c r="F24" s="264"/>
      <c r="H24" s="203">
        <v>4</v>
      </c>
      <c r="I24" s="204">
        <v>703</v>
      </c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28</v>
      </c>
      <c r="C25" s="206">
        <v>20</v>
      </c>
      <c r="D25" s="194">
        <f t="shared" si="2"/>
        <v>560</v>
      </c>
      <c r="E25" s="206"/>
      <c r="F25" s="264"/>
      <c r="G25" s="1"/>
      <c r="H25" s="203">
        <v>5</v>
      </c>
      <c r="I25" s="204">
        <v>703</v>
      </c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-28707.276943934146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28</v>
      </c>
      <c r="C26" s="206">
        <v>40</v>
      </c>
      <c r="D26" s="194">
        <f t="shared" si="2"/>
        <v>1120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40</v>
      </c>
      <c r="B27" s="193">
        <f>'Données projet'!D40</f>
        <v>28</v>
      </c>
      <c r="C27" s="206">
        <v>80</v>
      </c>
      <c r="D27" s="194">
        <f t="shared" si="2"/>
        <v>2240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45</v>
      </c>
      <c r="B28" s="193">
        <f>'Données projet'!D41</f>
        <v>28</v>
      </c>
      <c r="C28" s="206">
        <v>80</v>
      </c>
      <c r="D28" s="194">
        <f t="shared" si="2"/>
        <v>2240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50</v>
      </c>
      <c r="B29" s="193">
        <f>'Données projet'!D42</f>
        <v>28</v>
      </c>
      <c r="C29" s="206">
        <v>80</v>
      </c>
      <c r="D29" s="194">
        <f t="shared" si="2"/>
        <v>2240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55</v>
      </c>
      <c r="B30" s="193">
        <f>'Données projet'!D43</f>
        <v>28</v>
      </c>
      <c r="C30" s="206">
        <v>90</v>
      </c>
      <c r="D30" s="194">
        <f t="shared" si="2"/>
        <v>2520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60</v>
      </c>
      <c r="B31" s="193">
        <f>'Données projet'!D44</f>
        <v>28</v>
      </c>
      <c r="C31" s="206">
        <v>100</v>
      </c>
      <c r="D31" s="194">
        <f t="shared" si="2"/>
        <v>2800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65</v>
      </c>
      <c r="B32" s="193">
        <f>'Données projet'!D45</f>
        <v>28</v>
      </c>
      <c r="C32" s="206">
        <v>100</v>
      </c>
      <c r="D32" s="194">
        <f t="shared" si="2"/>
        <v>2800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70</v>
      </c>
      <c r="B33" s="193">
        <f>'Données projet'!D46</f>
        <v>28</v>
      </c>
      <c r="C33" s="206">
        <v>100</v>
      </c>
      <c r="D33" s="194">
        <f t="shared" si="2"/>
        <v>2800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75</v>
      </c>
      <c r="B34" s="193">
        <f>'Données projet'!D47</f>
        <v>28</v>
      </c>
      <c r="C34" s="206">
        <v>100</v>
      </c>
      <c r="D34" s="194">
        <f t="shared" si="2"/>
        <v>2800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80</v>
      </c>
      <c r="B35" s="193">
        <f>'Données projet'!D48</f>
        <v>28</v>
      </c>
      <c r="C35" s="206">
        <v>100</v>
      </c>
      <c r="D35" s="194">
        <f t="shared" si="2"/>
        <v>2800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85</v>
      </c>
      <c r="B36" s="193">
        <f>'Données projet'!D49</f>
        <v>28</v>
      </c>
      <c r="C36" s="206">
        <v>100</v>
      </c>
      <c r="D36" s="194">
        <f t="shared" si="2"/>
        <v>2800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90</v>
      </c>
      <c r="B37" s="193">
        <f>'Données projet'!D50</f>
        <v>28</v>
      </c>
      <c r="C37" s="206">
        <v>100</v>
      </c>
      <c r="D37" s="194">
        <f t="shared" si="2"/>
        <v>2800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95</v>
      </c>
      <c r="B38" s="193">
        <f>'Données projet'!D51</f>
        <v>28</v>
      </c>
      <c r="C38" s="206">
        <v>100</v>
      </c>
      <c r="D38" s="194">
        <f t="shared" si="2"/>
        <v>2800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100</v>
      </c>
      <c r="B39" s="193">
        <f>'Données projet'!D52</f>
        <v>333</v>
      </c>
      <c r="C39" s="206">
        <v>100</v>
      </c>
      <c r="D39" s="194">
        <f t="shared" si="2"/>
        <v>33300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Alisier torminal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3</v>
      </c>
      <c r="C54" s="206">
        <v>5</v>
      </c>
      <c r="D54" s="191">
        <f>B54*C54</f>
        <v>15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25</v>
      </c>
      <c r="B55" s="193">
        <f>'Données projet'!D63</f>
        <v>14</v>
      </c>
      <c r="C55" s="206">
        <v>10</v>
      </c>
      <c r="D55" s="191">
        <f t="shared" ref="D55:D73" si="4">B55*C55</f>
        <v>140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30</v>
      </c>
      <c r="B56" s="193">
        <f>'Données projet'!D64</f>
        <v>14</v>
      </c>
      <c r="C56" s="206">
        <v>20</v>
      </c>
      <c r="D56" s="191">
        <f t="shared" si="4"/>
        <v>280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35</v>
      </c>
      <c r="B57" s="193">
        <f>'Données projet'!D65</f>
        <v>14</v>
      </c>
      <c r="C57" s="204">
        <v>20</v>
      </c>
      <c r="D57" s="191">
        <f t="shared" si="4"/>
        <v>280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40</v>
      </c>
      <c r="B58" s="193">
        <f>'Données projet'!D66</f>
        <v>14</v>
      </c>
      <c r="C58" s="204">
        <v>20</v>
      </c>
      <c r="D58" s="191">
        <f t="shared" si="4"/>
        <v>280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45</v>
      </c>
      <c r="B59" s="193">
        <f>'Données projet'!D67</f>
        <v>14</v>
      </c>
      <c r="C59" s="204">
        <v>20</v>
      </c>
      <c r="D59" s="191">
        <f t="shared" si="4"/>
        <v>280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50</v>
      </c>
      <c r="B60" s="193">
        <f>'Données projet'!D68</f>
        <v>14</v>
      </c>
      <c r="C60" s="204">
        <v>20</v>
      </c>
      <c r="D60" s="191">
        <f t="shared" si="4"/>
        <v>280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55</v>
      </c>
      <c r="B61" s="193">
        <f>'Données projet'!D69</f>
        <v>14</v>
      </c>
      <c r="C61" s="204">
        <v>20</v>
      </c>
      <c r="D61" s="191">
        <f t="shared" si="4"/>
        <v>280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60</v>
      </c>
      <c r="B62" s="193">
        <f>'Données projet'!D70</f>
        <v>14</v>
      </c>
      <c r="C62" s="206">
        <v>80</v>
      </c>
      <c r="D62" s="191">
        <f t="shared" si="4"/>
        <v>1120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65</v>
      </c>
      <c r="B63" s="193">
        <f>'Données projet'!D71</f>
        <v>14</v>
      </c>
      <c r="C63" s="204">
        <v>80</v>
      </c>
      <c r="D63" s="191">
        <f t="shared" si="4"/>
        <v>1120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70</v>
      </c>
      <c r="B64" s="193">
        <f>'Données projet'!D72</f>
        <v>14</v>
      </c>
      <c r="C64" s="204">
        <v>80</v>
      </c>
      <c r="D64" s="191">
        <f t="shared" si="4"/>
        <v>1120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75</v>
      </c>
      <c r="B65" s="193">
        <f>'Données projet'!D73</f>
        <v>14</v>
      </c>
      <c r="C65" s="204">
        <v>80</v>
      </c>
      <c r="D65" s="191">
        <f t="shared" si="4"/>
        <v>1120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80</v>
      </c>
      <c r="B66" s="193">
        <f>'Données projet'!D74</f>
        <v>14</v>
      </c>
      <c r="C66" s="204">
        <v>80</v>
      </c>
      <c r="D66" s="191">
        <f t="shared" si="4"/>
        <v>1120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85</v>
      </c>
      <c r="B67" s="193">
        <f>'Données projet'!D75</f>
        <v>14</v>
      </c>
      <c r="C67" s="204">
        <v>80</v>
      </c>
      <c r="D67" s="191">
        <f t="shared" si="4"/>
        <v>1120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90</v>
      </c>
      <c r="B68" s="193">
        <f>'Données projet'!D76</f>
        <v>14</v>
      </c>
      <c r="C68" s="204">
        <v>80</v>
      </c>
      <c r="D68" s="191">
        <f t="shared" si="4"/>
        <v>1120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95</v>
      </c>
      <c r="B69" s="193">
        <f>'Données projet'!D77</f>
        <v>14</v>
      </c>
      <c r="C69" s="204">
        <v>80</v>
      </c>
      <c r="D69" s="191">
        <f t="shared" si="4"/>
        <v>1120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100</v>
      </c>
      <c r="B70" s="193">
        <f>'Données projet'!D78</f>
        <v>167</v>
      </c>
      <c r="C70" s="204">
        <v>80</v>
      </c>
      <c r="D70" s="191">
        <f t="shared" si="4"/>
        <v>13360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Cormier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3</v>
      </c>
      <c r="C85" s="206">
        <v>5</v>
      </c>
      <c r="D85" s="191">
        <f>B85*C85</f>
        <v>15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14</v>
      </c>
      <c r="C86" s="206">
        <v>10</v>
      </c>
      <c r="D86" s="191">
        <f t="shared" ref="D86:D104" si="6">B86*C86</f>
        <v>140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14</v>
      </c>
      <c r="C87" s="206">
        <v>20</v>
      </c>
      <c r="D87" s="191">
        <f t="shared" si="6"/>
        <v>280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14</v>
      </c>
      <c r="C88" s="204">
        <v>20</v>
      </c>
      <c r="D88" s="191">
        <f t="shared" si="6"/>
        <v>280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14</v>
      </c>
      <c r="C89" s="204">
        <v>20</v>
      </c>
      <c r="D89" s="191">
        <f t="shared" si="6"/>
        <v>280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14</v>
      </c>
      <c r="C90" s="204">
        <v>20</v>
      </c>
      <c r="D90" s="191">
        <f t="shared" si="6"/>
        <v>280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14</v>
      </c>
      <c r="C91" s="204">
        <v>20</v>
      </c>
      <c r="D91" s="191">
        <f t="shared" si="6"/>
        <v>280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55</v>
      </c>
      <c r="B92" s="193">
        <f>'Données projet'!D95</f>
        <v>14</v>
      </c>
      <c r="C92" s="204">
        <v>20</v>
      </c>
      <c r="D92" s="191">
        <f t="shared" si="6"/>
        <v>280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60</v>
      </c>
      <c r="B93" s="193">
        <f>'Données projet'!D96</f>
        <v>14</v>
      </c>
      <c r="C93" s="206">
        <v>80</v>
      </c>
      <c r="D93" s="191">
        <f t="shared" si="6"/>
        <v>1120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65</v>
      </c>
      <c r="B94" s="193">
        <f>'Données projet'!D97</f>
        <v>14</v>
      </c>
      <c r="C94" s="204">
        <v>80</v>
      </c>
      <c r="D94" s="191">
        <f t="shared" si="6"/>
        <v>1120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70</v>
      </c>
      <c r="B95" s="193">
        <f>'Données projet'!D98</f>
        <v>14</v>
      </c>
      <c r="C95" s="204">
        <v>80</v>
      </c>
      <c r="D95" s="191">
        <f t="shared" si="6"/>
        <v>1120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75</v>
      </c>
      <c r="B96" s="193">
        <f>'Données projet'!D99</f>
        <v>14</v>
      </c>
      <c r="C96" s="204">
        <v>80</v>
      </c>
      <c r="D96" s="191">
        <f t="shared" si="6"/>
        <v>1120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80</v>
      </c>
      <c r="B97" s="193">
        <f>'Données projet'!D100</f>
        <v>14</v>
      </c>
      <c r="C97" s="204">
        <v>80</v>
      </c>
      <c r="D97" s="191">
        <f t="shared" si="6"/>
        <v>1120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85</v>
      </c>
      <c r="B98" s="193">
        <f>'Données projet'!D101</f>
        <v>14</v>
      </c>
      <c r="C98" s="204">
        <v>80</v>
      </c>
      <c r="D98" s="191">
        <f t="shared" si="6"/>
        <v>1120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90</v>
      </c>
      <c r="B99" s="193">
        <f>'Données projet'!D102</f>
        <v>14</v>
      </c>
      <c r="C99" s="204">
        <v>80</v>
      </c>
      <c r="D99" s="191">
        <f t="shared" si="6"/>
        <v>1120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95</v>
      </c>
      <c r="B100" s="193">
        <f>'Données projet'!D103</f>
        <v>14</v>
      </c>
      <c r="C100" s="204">
        <v>80</v>
      </c>
      <c r="D100" s="191">
        <f t="shared" si="6"/>
        <v>1120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100</v>
      </c>
      <c r="B101" s="193">
        <f>'Données projet'!D104</f>
        <v>167</v>
      </c>
      <c r="C101" s="204">
        <v>80</v>
      </c>
      <c r="D101" s="191">
        <f t="shared" si="6"/>
        <v>13360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>
        <f>IF(O113+1&lt;=MIN('Données projet'!$E$9:$E$18),O113+1,"STOP")</f>
        <v>81</v>
      </c>
      <c r="P114" s="197">
        <f t="shared" si="7"/>
        <v>0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>
        <f>IF(O114+1&lt;=MIN('Données projet'!$E$9:$E$18),O114+1,"STOP")</f>
        <v>82</v>
      </c>
      <c r="P115" s="197">
        <f t="shared" si="7"/>
        <v>0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>
        <f>IF(O115+1&lt;=MIN('Données projet'!$E$9:$E$18),O115+1,"STOP")</f>
        <v>83</v>
      </c>
      <c r="P116" s="197">
        <f t="shared" si="7"/>
        <v>0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>
        <f>IF(O116+1&lt;=MIN('Données projet'!$E$9:$E$18),O116+1,"STOP")</f>
        <v>84</v>
      </c>
      <c r="P117" s="197">
        <f t="shared" si="7"/>
        <v>0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>
        <f>IF(O117+1&lt;=MIN('Données projet'!$E$9:$E$18),O117+1,"STOP")</f>
        <v>85</v>
      </c>
      <c r="P118" s="197">
        <f t="shared" si="7"/>
        <v>0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>
        <f>IF(O118+1&lt;=MIN('Données projet'!$E$9:$E$18),O118+1,"STOP")</f>
        <v>86</v>
      </c>
      <c r="P119" s="197">
        <f t="shared" si="7"/>
        <v>0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>
        <f>IF(O119+1&lt;=MIN('Données projet'!$E$9:$E$18),O119+1,"STOP")</f>
        <v>87</v>
      </c>
      <c r="P120" s="197">
        <f t="shared" si="7"/>
        <v>0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>
        <f>IF(O120+1&lt;=MIN('Données projet'!$E$9:$E$18),O120+1,"STOP")</f>
        <v>88</v>
      </c>
      <c r="P121" s="197">
        <f t="shared" si="7"/>
        <v>0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>
        <f>IF(O121+1&lt;=MIN('Données projet'!$E$9:$E$18),O121+1,"STOP")</f>
        <v>89</v>
      </c>
      <c r="P122" s="197">
        <f t="shared" si="7"/>
        <v>0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>
        <f>IF(O122+1&lt;=MIN('Données projet'!$E$9:$E$18),O122+1,"STOP")</f>
        <v>90</v>
      </c>
      <c r="P123" s="197">
        <f t="shared" si="7"/>
        <v>0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>
        <f>IF(O123+1&lt;=MIN('Données projet'!$E$9:$E$18),O123+1,"STOP")</f>
        <v>91</v>
      </c>
      <c r="P124" s="197">
        <f t="shared" si="7"/>
        <v>0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>
        <f>IF(O124+1&lt;=MIN('Données projet'!$E$9:$E$18),O124+1,"STOP")</f>
        <v>92</v>
      </c>
      <c r="P125" s="197">
        <f t="shared" si="7"/>
        <v>0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>
        <f>IF(O125+1&lt;=MIN('Données projet'!$E$9:$E$18),O125+1,"STOP")</f>
        <v>93</v>
      </c>
      <c r="P126" s="197">
        <f t="shared" si="7"/>
        <v>0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>
        <f>IF(O126+1&lt;=MIN('Données projet'!$E$9:$E$18),O126+1,"STOP")</f>
        <v>94</v>
      </c>
      <c r="P127" s="197">
        <f t="shared" si="7"/>
        <v>0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>
        <f>IF(O127+1&lt;=MIN('Données projet'!$E$9:$E$18),O127+1,"STOP")</f>
        <v>95</v>
      </c>
      <c r="P128" s="197">
        <f t="shared" si="7"/>
        <v>0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>
        <f>IF(O128+1&lt;=MIN('Données projet'!$E$9:$E$18),O128+1,"STOP")</f>
        <v>96</v>
      </c>
      <c r="P129" s="197">
        <f t="shared" ref="P129:P132" si="9">$P$25/(1+$M$4)^O129</f>
        <v>0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>
        <f>IF(O129+1&lt;=MIN('Données projet'!$E$9:$E$18),O129+1,"STOP")</f>
        <v>97</v>
      </c>
      <c r="P130" s="197">
        <f t="shared" si="9"/>
        <v>0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>
        <f>IF(O130+1&lt;=MIN('Données projet'!$E$9:$E$18),O130+1,"STOP")</f>
        <v>98</v>
      </c>
      <c r="P131" s="197">
        <f t="shared" si="9"/>
        <v>0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>
        <f>IF(O131+1&lt;=MIN('Données projet'!$E$9:$E$18),O131+1,"STOP")</f>
        <v>99</v>
      </c>
      <c r="P132" s="197">
        <f t="shared" si="9"/>
        <v>0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2022-07-08T09:22:23Z</dcterms:modified>
</cp:coreProperties>
</file>