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Coopératives partenaires\FBE\Fournets Luisans\"/>
    </mc:Choice>
  </mc:AlternateContent>
  <xr:revisionPtr revIDLastSave="0" documentId="13_ncr:1_{CA0FDBD5-4F85-4B00-A2F2-EB6BBDA2FD8E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3" i="2" a="1"/>
  <c r="BC83" i="2" s="1"/>
  <c r="BC38" i="2" a="1"/>
  <c r="BC3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47" i="2" l="1" a="1"/>
  <c r="BC47" i="2" s="1"/>
  <c r="BC82" i="2" a="1"/>
  <c r="BC82" i="2" s="1"/>
  <c r="BC130" i="2" a="1"/>
  <c r="BC130" i="2" s="1"/>
  <c r="BC18" i="2" a="1"/>
  <c r="BC18" i="2" s="1"/>
  <c r="BC117" i="2" a="1"/>
  <c r="BC117" i="2" s="1"/>
  <c r="BC68" i="2" a="1"/>
  <c r="BC68" i="2" s="1"/>
  <c r="BC164" i="2" a="1"/>
  <c r="BC164" i="2" s="1"/>
  <c r="BC58" i="2" a="1"/>
  <c r="BC58" i="2" s="1"/>
  <c r="BC143" i="2" a="1"/>
  <c r="BC143" i="2" s="1"/>
  <c r="BC192" i="2" a="1"/>
  <c r="BC192" i="2" s="1"/>
  <c r="BC55" i="2" a="1"/>
  <c r="BC55" i="2" s="1"/>
  <c r="BC181" i="2" a="1"/>
  <c r="BC181" i="2" s="1"/>
  <c r="BC84" i="2" a="1"/>
  <c r="BC84" i="2" s="1"/>
  <c r="BC65" i="2" a="1"/>
  <c r="BC65" i="2" s="1"/>
  <c r="BC31" i="2" a="1"/>
  <c r="BC31" i="2" s="1"/>
  <c r="BC32" i="2" a="1"/>
  <c r="BC32" i="2" s="1"/>
  <c r="BC114" i="2" a="1"/>
  <c r="BC114" i="2" s="1"/>
  <c r="BC126" i="2" a="1"/>
  <c r="BC126" i="2" s="1"/>
  <c r="BC151" i="2" a="1"/>
  <c r="BC151" i="2" s="1"/>
  <c r="BC34" i="2" a="1"/>
  <c r="BC34" i="2" s="1"/>
  <c r="BC7" i="2" a="1"/>
  <c r="BC7" i="2" s="1"/>
  <c r="BD7" i="2" s="1"/>
  <c r="BC185" i="2" a="1"/>
  <c r="BC185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<sst xmlns="http://schemas.openxmlformats.org/spreadsheetml/2006/main" count="1172" uniqueCount="324">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</sst>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1.7983590495427</c:v>
                </c:pt>
                <c:pt idx="2">
                  <c:v>2.2250723216926933</c:v>
                </c:pt>
                <c:pt idx="3">
                  <c:v>2.7534322831541989</c:v>
                </c:pt>
                <c:pt idx="4">
                  <c:v>3.4077413288763059</c:v>
                </c:pt>
                <c:pt idx="5">
                  <c:v>4.2181322727099486</c:v>
                </c:pt>
                <c:pt idx="6">
                  <c:v>5.2219716087393548</c:v>
                </c:pt>
                <c:pt idx="7">
                  <c:v>6.4656015061107972</c:v>
                </c:pt>
                <c:pt idx="8">
                  <c:v>8.0065025257837785</c:v>
                </c:pt>
                <c:pt idx="9">
                  <c:v>9.9159789414746928</c:v>
                </c:pt>
                <c:pt idx="10">
                  <c:v>12.282493278818798</c:v>
                </c:pt>
                <c:pt idx="11">
                  <c:v>15.215807435341619</c:v>
                </c:pt>
                <c:pt idx="12">
                  <c:v>18.852125975900751</c:v>
                </c:pt>
                <c:pt idx="13">
                  <c:v>23.360484738699075</c:v>
                </c:pt>
                <c:pt idx="14">
                  <c:v>28.950687006421436</c:v>
                </c:pt>
                <c:pt idx="15">
                  <c:v>35.883163020991212</c:v>
                </c:pt>
                <c:pt idx="16">
                  <c:v>44.481220064987831</c:v>
                </c:pt>
                <c:pt idx="17">
                  <c:v>55.146264073708259</c:v>
                </c:pt>
                <c:pt idx="18">
                  <c:v>68.376715225181087</c:v>
                </c:pt>
                <c:pt idx="19">
                  <c:v>84.791515959444709</c:v>
                </c:pt>
                <c:pt idx="20">
                  <c:v>105.15934884007568</c:v>
                </c:pt>
                <c:pt idx="21">
                  <c:v>130.43495409245023</c:v>
                </c:pt>
                <c:pt idx="22">
                  <c:v>161.80427560803119</c:v>
                </c:pt>
                <c:pt idx="23">
                  <c:v>200.74058596732007</c:v>
                </c:pt>
                <c:pt idx="24">
                  <c:v>234.50882798734798</c:v>
                </c:pt>
                <c:pt idx="25">
                  <c:v>268.16596723194158</c:v>
                </c:pt>
                <c:pt idx="26">
                  <c:v>281.12183635781474</c:v>
                </c:pt>
                <c:pt idx="27">
                  <c:v>310.82280084580395</c:v>
                </c:pt>
                <c:pt idx="28">
                  <c:v>340.46077551603156</c:v>
                </c:pt>
                <c:pt idx="29">
                  <c:v>370.04200959807071</c:v>
                </c:pt>
                <c:pt idx="30">
                  <c:v>399.57167178295862</c:v>
                </c:pt>
                <c:pt idx="31">
                  <c:v>379.09668743989408</c:v>
                </c:pt>
                <c:pt idx="32">
                  <c:v>408.6114475460293</c:v>
                </c:pt>
                <c:pt idx="33">
                  <c:v>438.08017326114509</c:v>
                </c:pt>
                <c:pt idx="34">
                  <c:v>467.50639268287961</c:v>
                </c:pt>
                <c:pt idx="35">
                  <c:v>496.89315392930274</c:v>
                </c:pt>
                <c:pt idx="36">
                  <c:v>467.26924609904512</c:v>
                </c:pt>
                <c:pt idx="37">
                  <c:v>495.70893259379926</c:v>
                </c:pt>
                <c:pt idx="38">
                  <c:v>524.11406271004307</c:v>
                </c:pt>
                <c:pt idx="39">
                  <c:v>552.48677012222458</c:v>
                </c:pt>
                <c:pt idx="40">
                  <c:v>580.82895174144687</c:v>
                </c:pt>
                <c:pt idx="41">
                  <c:v>536.64922208458972</c:v>
                </c:pt>
                <c:pt idx="42">
                  <c:v>560.992549027368</c:v>
                </c:pt>
                <c:pt idx="43">
                  <c:v>585.31377902676002</c:v>
                </c:pt>
                <c:pt idx="44">
                  <c:v>609.61395836729616</c:v>
                </c:pt>
                <c:pt idx="45">
                  <c:v>633.89404321407972</c:v>
                </c:pt>
                <c:pt idx="46">
                  <c:v>584.36966457807512</c:v>
                </c:pt>
                <c:pt idx="47">
                  <c:v>602.06658285816218</c:v>
                </c:pt>
                <c:pt idx="48">
                  <c:v>619.75269577860945</c:v>
                </c:pt>
                <c:pt idx="49">
                  <c:v>637.42835487942023</c:v>
                </c:pt>
                <c:pt idx="50">
                  <c:v>655.09389063044614</c:v>
                </c:pt>
                <c:pt idx="51">
                  <c:v>620.45992059020114</c:v>
                </c:pt>
                <c:pt idx="52">
                  <c:v>635.30781662925813</c:v>
                </c:pt>
                <c:pt idx="53">
                  <c:v>650.14854272914761</c:v>
                </c:pt>
                <c:pt idx="54">
                  <c:v>664.98228551186753</c:v>
                </c:pt>
                <c:pt idx="55">
                  <c:v>679.80922259999909</c:v>
                </c:pt>
                <c:pt idx="56">
                  <c:v>645.43796637298954</c:v>
                </c:pt>
                <c:pt idx="57">
                  <c:v>654.62293835901619</c:v>
                </c:pt>
                <c:pt idx="58">
                  <c:v>663.80525525225971</c:v>
                </c:pt>
                <c:pt idx="59">
                  <c:v>672.98495895127326</c:v>
                </c:pt>
                <c:pt idx="60">
                  <c:v>682.16209011862327</c:v>
                </c:pt>
                <c:pt idx="61">
                  <c:v>1.8635787380168604E-12</c:v>
                </c:pt>
                <c:pt idx="62">
                  <c:v>1.8635787380168604E-12</c:v>
                </c:pt>
                <c:pt idx="63">
                  <c:v>1.8635787380168604E-12</c:v>
                </c:pt>
                <c:pt idx="64">
                  <c:v>1.8635787380168604E-12</c:v>
                </c:pt>
                <c:pt idx="65">
                  <c:v>1.8635787380168604E-12</c:v>
                </c:pt>
                <c:pt idx="66">
                  <c:v>1.8635787380168604E-12</c:v>
                </c:pt>
                <c:pt idx="67">
                  <c:v>1.8635787380168604E-12</c:v>
                </c:pt>
                <c:pt idx="68">
                  <c:v>1.8635787380168604E-12</c:v>
                </c:pt>
                <c:pt idx="69">
                  <c:v>1.8635787380168604E-12</c:v>
                </c:pt>
                <c:pt idx="70">
                  <c:v>1.8635787380168604E-12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2.5959219878832802</c:v>
                </c:pt>
                <c:pt idx="2">
                  <c:v>5.0651007063299405</c:v>
                </c:pt>
                <c:pt idx="3">
                  <c:v>7.49334771086271</c:v>
                </c:pt>
                <c:pt idx="4">
                  <c:v>9.8963634545630335</c:v>
                </c:pt>
                <c:pt idx="5">
                  <c:v>12.281263897462305</c:v>
                </c:pt>
                <c:pt idx="6">
                  <c:v>14.652108280262063</c:v>
                </c:pt>
                <c:pt idx="7">
                  <c:v>17.011513438489757</c:v>
                </c:pt>
                <c:pt idx="8">
                  <c:v>19.361302101402867</c:v>
                </c:pt>
                <c:pt idx="9">
                  <c:v>21.702813998192607</c:v>
                </c:pt>
                <c:pt idx="10">
                  <c:v>24.037073674810458</c:v>
                </c:pt>
                <c:pt idx="11">
                  <c:v>26.364888910470402</c:v>
                </c:pt>
                <c:pt idx="12">
                  <c:v>28.686912191518729</c:v>
                </c:pt>
                <c:pt idx="13">
                  <c:v>31.003681055323245</c:v>
                </c:pt>
                <c:pt idx="14">
                  <c:v>33.31564564341344</c:v>
                </c:pt>
                <c:pt idx="15">
                  <c:v>35.623188147508579</c:v>
                </c:pt>
                <c:pt idx="16">
                  <c:v>37.926636917452029</c:v>
                </c:pt>
                <c:pt idx="17">
                  <c:v>40.226276939557614</c:v>
                </c:pt>
                <c:pt idx="18">
                  <c:v>42.522357778327574</c:v>
                </c:pt>
                <c:pt idx="19">
                  <c:v>44.815099702748341</c:v>
                </c:pt>
                <c:pt idx="20">
                  <c:v>47.104698486046253</c:v>
                </c:pt>
                <c:pt idx="21">
                  <c:v>49.391329218211972</c:v>
                </c:pt>
                <c:pt idx="22">
                  <c:v>51.675149371754117</c:v>
                </c:pt>
                <c:pt idx="23">
                  <c:v>53.956301294286526</c:v>
                </c:pt>
                <c:pt idx="24">
                  <c:v>56.234914255390265</c:v>
                </c:pt>
                <c:pt idx="25">
                  <c:v>58.511106142718994</c:v>
                </c:pt>
                <c:pt idx="26">
                  <c:v>60.784984879088675</c:v>
                </c:pt>
                <c:pt idx="27">
                  <c:v>63.056649615421321</c:v>
                </c:pt>
                <c:pt idx="28">
                  <c:v>65.326191741988069</c:v>
                </c:pt>
                <c:pt idx="29">
                  <c:v>67.593695751129374</c:v>
                </c:pt>
                <c:pt idx="30">
                  <c:v>69.859239977636221</c:v>
                </c:pt>
                <c:pt idx="31">
                  <c:v>72.122897237640657</c:v>
                </c:pt>
                <c:pt idx="32">
                  <c:v>74.384735382753192</c:v>
                </c:pt>
                <c:pt idx="33">
                  <c:v>76.644817782987005</c:v>
                </c:pt>
                <c:pt idx="34">
                  <c:v>78.903203749501401</c:v>
                </c:pt>
                <c:pt idx="35">
                  <c:v>81.159948906213074</c:v>
                </c:pt>
                <c:pt idx="36">
                  <c:v>83.415105517743854</c:v>
                </c:pt>
                <c:pt idx="37">
                  <c:v>85.668722779905366</c:v>
                </c:pt>
                <c:pt idx="38">
                  <c:v>87.920847077896838</c:v>
                </c:pt>
                <c:pt idx="39">
                  <c:v>90.171522216559552</c:v>
                </c:pt>
                <c:pt idx="40">
                  <c:v>92.420789626351223</c:v>
                </c:pt>
                <c:pt idx="41">
                  <c:v>94.668688548142754</c:v>
                </c:pt>
                <c:pt idx="42">
                  <c:v>96.915256199478748</c:v>
                </c:pt>
                <c:pt idx="43">
                  <c:v>99.160527924557371</c:v>
                </c:pt>
                <c:pt idx="44">
                  <c:v>101.40453732986578</c:v>
                </c:pt>
                <c:pt idx="45">
                  <c:v>103.64731640713715</c:v>
                </c:pt>
                <c:pt idx="46">
                  <c:v>105.88889564507043</c:v>
                </c:pt>
                <c:pt idx="47">
                  <c:v>108.12930413106085</c:v>
                </c:pt>
                <c:pt idx="48">
                  <c:v>110.36856964402853</c:v>
                </c:pt>
                <c:pt idx="49">
                  <c:v>112.60671873929283</c:v>
                </c:pt>
                <c:pt idx="50">
                  <c:v>114.84377682632272</c:v>
                </c:pt>
                <c:pt idx="51">
                  <c:v>117.0797682400913</c:v>
                </c:pt>
                <c:pt idx="52">
                  <c:v>119.31471630667555</c:v>
                </c:pt>
                <c:pt idx="53">
                  <c:v>121.54864340366784</c:v>
                </c:pt>
                <c:pt idx="54">
                  <c:v>123.78157101589859</c:v>
                </c:pt>
                <c:pt idx="55">
                  <c:v>126.01351978691493</c:v>
                </c:pt>
                <c:pt idx="56">
                  <c:v>128.24450956660925</c:v>
                </c:pt>
                <c:pt idx="57">
                  <c:v>130.47455945534986</c:v>
                </c:pt>
                <c:pt idx="58">
                  <c:v>118.06622796823471</c:v>
                </c:pt>
                <c:pt idx="59">
                  <c:v>131.94478119054529</c:v>
                </c:pt>
                <c:pt idx="60">
                  <c:v>145.78807977958152</c:v>
                </c:pt>
                <c:pt idx="61">
                  <c:v>159.59994614012598</c:v>
                </c:pt>
                <c:pt idx="62">
                  <c:v>173.38348568210975</c:v>
                </c:pt>
                <c:pt idx="63">
                  <c:v>187.14126892541768</c:v>
                </c:pt>
                <c:pt idx="64">
                  <c:v>200.8754570654138</c:v>
                </c:pt>
                <c:pt idx="65">
                  <c:v>214.58789130305846</c:v>
                </c:pt>
                <c:pt idx="66">
                  <c:v>228.28015809328147</c:v>
                </c:pt>
                <c:pt idx="67">
                  <c:v>241.95363788921421</c:v>
                </c:pt>
                <c:pt idx="68">
                  <c:v>211.05788863590237</c:v>
                </c:pt>
                <c:pt idx="69">
                  <c:v>226.82886120966927</c:v>
                </c:pt>
                <c:pt idx="70">
                  <c:v>242.57473352063508</c:v>
                </c:pt>
                <c:pt idx="71">
                  <c:v>258.29736443264181</c:v>
                </c:pt>
                <c:pt idx="72">
                  <c:v>273.9983679231629</c:v>
                </c:pt>
                <c:pt idx="73">
                  <c:v>289.67915782839498</c:v>
                </c:pt>
                <c:pt idx="74">
                  <c:v>305.34098238237306</c:v>
                </c:pt>
                <c:pt idx="75">
                  <c:v>320.9849512927965</c:v>
                </c:pt>
                <c:pt idx="76">
                  <c:v>336.61205725879114</c:v>
                </c:pt>
                <c:pt idx="77">
                  <c:v>352.22319328184159</c:v>
                </c:pt>
                <c:pt idx="78">
                  <c:v>300.50013758553803</c:v>
                </c:pt>
                <c:pt idx="79">
                  <c:v>315.63501260006802</c:v>
                </c:pt>
                <c:pt idx="80">
                  <c:v>330.75380996182145</c:v>
                </c:pt>
                <c:pt idx="81">
                  <c:v>345.8573680370539</c:v>
                </c:pt>
                <c:pt idx="82">
                  <c:v>360.94644599058137</c:v>
                </c:pt>
                <c:pt idx="83">
                  <c:v>376.02173433563627</c:v>
                </c:pt>
                <c:pt idx="84">
                  <c:v>391.08386370314253</c:v>
                </c:pt>
                <c:pt idx="85">
                  <c:v>406.13341218931424</c:v>
                </c:pt>
                <c:pt idx="86">
                  <c:v>421.17091155725808</c:v>
                </c:pt>
                <c:pt idx="87">
                  <c:v>436.19685250667379</c:v>
                </c:pt>
                <c:pt idx="88">
                  <c:v>382.82007098626735</c:v>
                </c:pt>
                <c:pt idx="89">
                  <c:v>395.96522776121509</c:v>
                </c:pt>
                <c:pt idx="90">
                  <c:v>409.10093168534598</c:v>
                </c:pt>
                <c:pt idx="91">
                  <c:v>422.22752904028579</c:v>
                </c:pt>
                <c:pt idx="92">
                  <c:v>435.34534282025464</c:v>
                </c:pt>
                <c:pt idx="93">
                  <c:v>448.45467496742776</c:v>
                </c:pt>
                <c:pt idx="94">
                  <c:v>461.55580833230152</c:v>
                </c:pt>
                <c:pt idx="95">
                  <c:v>474.64900839989804</c:v>
                </c:pt>
                <c:pt idx="96">
                  <c:v>487.73452481559735</c:v>
                </c:pt>
                <c:pt idx="97">
                  <c:v>500.81259273871729</c:v>
                </c:pt>
                <c:pt idx="98">
                  <c:v>513.88343404736599</c:v>
                </c:pt>
                <c:pt idx="99">
                  <c:v>526.94725841435536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70" zoomScaleNormal="70" workbookViewId="0">
      <selection activeCell="J28" sqref="J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8.5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0.11700000000000001</v>
      </c>
      <c r="D9" s="36">
        <f t="shared" ref="D9:D18" si="0">C9*$C$5</f>
        <v>0.99450000000000005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0.44</v>
      </c>
      <c r="D10" s="36">
        <f t="shared" si="0"/>
        <v>3.74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45</v>
      </c>
      <c r="C11" s="35">
        <v>0.44</v>
      </c>
      <c r="D11" s="36">
        <f t="shared" si="0"/>
        <v>3.74</v>
      </c>
      <c r="E11" s="37">
        <v>99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0.99700000000000011</v>
      </c>
      <c r="D19" s="41">
        <f>SUM(D9:D18)</f>
        <v>8.4745000000000008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23</v>
      </c>
      <c r="B36" s="63">
        <v>162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7.0434782608695654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218</v>
      </c>
      <c r="C37" s="63">
        <v>2</v>
      </c>
      <c r="D37" s="63">
        <v>14</v>
      </c>
      <c r="E37" s="54"/>
      <c r="F37" s="54">
        <v>1</v>
      </c>
      <c r="G37" s="54"/>
      <c r="H37" s="54"/>
      <c r="I37" s="56">
        <f t="shared" ref="I37:I55" si="1">IF(A37&lt;&gt;0,(B37-(B36-D36))/(A37-A36),"")</f>
        <v>28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328</v>
      </c>
      <c r="C38" s="63">
        <v>3</v>
      </c>
      <c r="D38" s="63">
        <v>42</v>
      </c>
      <c r="E38" s="54">
        <v>0.4</v>
      </c>
      <c r="F38" s="54">
        <v>0.6</v>
      </c>
      <c r="G38" s="54"/>
      <c r="H38" s="54"/>
      <c r="I38" s="56">
        <f t="shared" si="1"/>
        <v>24.8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410</v>
      </c>
      <c r="C39" s="63">
        <v>4</v>
      </c>
      <c r="D39" s="63">
        <v>49</v>
      </c>
      <c r="E39" s="54">
        <v>0.6</v>
      </c>
      <c r="F39" s="54">
        <v>0.4</v>
      </c>
      <c r="G39" s="54"/>
      <c r="H39" s="54"/>
      <c r="I39" s="52">
        <f t="shared" si="1"/>
        <v>24.8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481</v>
      </c>
      <c r="C40" s="63">
        <v>5</v>
      </c>
      <c r="D40" s="63">
        <v>58</v>
      </c>
      <c r="E40" s="54">
        <v>0.8</v>
      </c>
      <c r="F40" s="54">
        <v>0.2</v>
      </c>
      <c r="G40" s="54"/>
      <c r="H40" s="54"/>
      <c r="I40" s="52">
        <f t="shared" si="1"/>
        <v>24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526</v>
      </c>
      <c r="C41" s="63">
        <v>6</v>
      </c>
      <c r="D41" s="63">
        <v>57</v>
      </c>
      <c r="E41" s="54">
        <v>0.9</v>
      </c>
      <c r="F41" s="54">
        <v>0.1</v>
      </c>
      <c r="G41" s="54"/>
      <c r="H41" s="54"/>
      <c r="I41" s="56">
        <f t="shared" si="1"/>
        <v>20.6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544</v>
      </c>
      <c r="C42" s="63">
        <v>7</v>
      </c>
      <c r="D42" s="63">
        <v>42</v>
      </c>
      <c r="E42" s="54">
        <v>0.9</v>
      </c>
      <c r="F42" s="54">
        <v>0.1</v>
      </c>
      <c r="G42" s="54"/>
      <c r="H42" s="54"/>
      <c r="I42" s="56">
        <f t="shared" si="1"/>
        <v>15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565</v>
      </c>
      <c r="C43" s="63">
        <v>8</v>
      </c>
      <c r="D43" s="63">
        <v>37</v>
      </c>
      <c r="E43" s="54">
        <v>0.9</v>
      </c>
      <c r="F43" s="54">
        <v>0.1</v>
      </c>
      <c r="G43" s="54"/>
      <c r="H43" s="54"/>
      <c r="I43" s="52">
        <f t="shared" si="1"/>
        <v>12.6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567</v>
      </c>
      <c r="C44" s="63">
        <v>9</v>
      </c>
      <c r="D44" s="63">
        <v>567</v>
      </c>
      <c r="E44" s="54">
        <v>0.9</v>
      </c>
      <c r="F44" s="54">
        <v>0.1</v>
      </c>
      <c r="G44" s="54"/>
      <c r="H44" s="54"/>
      <c r="I44" s="52">
        <f t="shared" si="1"/>
        <v>7.8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27</v>
      </c>
      <c r="B62" s="63">
        <v>118</v>
      </c>
      <c r="C62" s="63">
        <v>1</v>
      </c>
      <c r="D62" s="63">
        <v>15</v>
      </c>
      <c r="E62" s="54"/>
      <c r="F62" s="54">
        <v>1</v>
      </c>
      <c r="G62" s="54"/>
      <c r="H62" s="54"/>
      <c r="I62" s="56">
        <f>IFERROR(B62/A62,"")</f>
        <v>4.3703703703703702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132</v>
      </c>
      <c r="C63" s="63">
        <v>2</v>
      </c>
      <c r="D63" s="63">
        <v>13</v>
      </c>
      <c r="E63" s="54"/>
      <c r="F63" s="54">
        <v>1</v>
      </c>
      <c r="G63" s="54"/>
      <c r="H63" s="54"/>
      <c r="I63" s="52">
        <f>IF(A63&lt;&gt;0,(B63-(B62-D62))/(A63-A62),"")</f>
        <v>9.6666666666666661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169</v>
      </c>
      <c r="C64" s="63">
        <v>3</v>
      </c>
      <c r="D64" s="63">
        <v>23</v>
      </c>
      <c r="E64" s="54">
        <v>0.4</v>
      </c>
      <c r="F64" s="54">
        <v>0.6</v>
      </c>
      <c r="G64" s="54"/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208</v>
      </c>
      <c r="C65" s="63">
        <v>4</v>
      </c>
      <c r="D65" s="63">
        <v>34</v>
      </c>
      <c r="E65" s="54">
        <v>0.6</v>
      </c>
      <c r="F65" s="54">
        <v>0.4</v>
      </c>
      <c r="G65" s="54"/>
      <c r="H65" s="54"/>
      <c r="I65" s="52">
        <f>IF(A65&lt;&gt;0,(B65-(B64-D64))/(A65-A64),"")</f>
        <v>12.4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50</v>
      </c>
      <c r="B66" s="63">
        <v>315</v>
      </c>
      <c r="C66" s="63">
        <v>5</v>
      </c>
      <c r="D66" s="63">
        <v>79</v>
      </c>
      <c r="E66" s="54">
        <v>0.8</v>
      </c>
      <c r="F66" s="54">
        <v>0.2</v>
      </c>
      <c r="G66" s="54"/>
      <c r="H66" s="54"/>
      <c r="I66" s="52">
        <f t="shared" ref="I66:I81" si="2">IF(A66&lt;&gt;0,(B66-(B65-D65))/(A66-A65),"")</f>
        <v>14.1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60</v>
      </c>
      <c r="B67" s="63">
        <v>393</v>
      </c>
      <c r="C67" s="63">
        <v>6</v>
      </c>
      <c r="D67" s="63">
        <v>88</v>
      </c>
      <c r="E67" s="54">
        <v>0.9</v>
      </c>
      <c r="F67" s="54">
        <v>0.1</v>
      </c>
      <c r="G67" s="54"/>
      <c r="H67" s="54"/>
      <c r="I67" s="52">
        <f t="shared" si="2"/>
        <v>15.7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70</v>
      </c>
      <c r="B68" s="63">
        <v>448</v>
      </c>
      <c r="C68" s="63">
        <v>7</v>
      </c>
      <c r="D68" s="63">
        <v>78</v>
      </c>
      <c r="E68" s="54">
        <v>0.9</v>
      </c>
      <c r="F68" s="54">
        <v>0.1</v>
      </c>
      <c r="G68" s="54"/>
      <c r="H68" s="54"/>
      <c r="I68" s="52">
        <f t="shared" si="2"/>
        <v>14.3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80</v>
      </c>
      <c r="B69" s="53">
        <v>460</v>
      </c>
      <c r="C69" s="53">
        <v>8</v>
      </c>
      <c r="D69" s="53">
        <v>460</v>
      </c>
      <c r="E69" s="54">
        <v>0.9</v>
      </c>
      <c r="F69" s="54">
        <v>0.1</v>
      </c>
      <c r="G69" s="54"/>
      <c r="H69" s="54"/>
      <c r="I69" s="52">
        <f t="shared" si="2"/>
        <v>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Sapin de Nordmann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57</v>
      </c>
      <c r="B88" s="63">
        <v>121</v>
      </c>
      <c r="C88" s="63">
        <v>1</v>
      </c>
      <c r="D88" s="63">
        <v>25</v>
      </c>
      <c r="E88" s="54">
        <v>0</v>
      </c>
      <c r="F88" s="54"/>
      <c r="G88" s="54">
        <v>1</v>
      </c>
      <c r="H88" s="93"/>
      <c r="I88" s="56">
        <f>IFERROR(B88/A88,"")</f>
        <v>2.1228070175438596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67</v>
      </c>
      <c r="B89" s="63">
        <v>228</v>
      </c>
      <c r="C89" s="63">
        <v>2</v>
      </c>
      <c r="D89" s="63">
        <v>45</v>
      </c>
      <c r="E89" s="54">
        <v>0.4</v>
      </c>
      <c r="F89" s="54"/>
      <c r="G89" s="54">
        <v>0.6</v>
      </c>
      <c r="H89" s="93"/>
      <c r="I89" s="56">
        <f t="shared" ref="I89:I107" si="3">IF(A89&lt;&gt;0,(B89-(B88-D88))/(A89-A88),"")</f>
        <v>13.2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77</v>
      </c>
      <c r="B90" s="63">
        <v>335</v>
      </c>
      <c r="C90" s="63">
        <v>3</v>
      </c>
      <c r="D90" s="63">
        <v>65</v>
      </c>
      <c r="E90" s="93">
        <v>0.6</v>
      </c>
      <c r="F90" s="93"/>
      <c r="G90" s="93">
        <v>0.4</v>
      </c>
      <c r="H90" s="93"/>
      <c r="I90" s="56">
        <f t="shared" si="3"/>
        <v>15.2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87</v>
      </c>
      <c r="B91" s="63">
        <v>417</v>
      </c>
      <c r="C91" s="63">
        <v>4</v>
      </c>
      <c r="D91" s="63">
        <v>65</v>
      </c>
      <c r="E91" s="93">
        <v>0.8</v>
      </c>
      <c r="F91" s="93"/>
      <c r="G91" s="93">
        <v>0.2</v>
      </c>
      <c r="H91" s="93"/>
      <c r="I91" s="56">
        <f t="shared" si="3"/>
        <v>14.7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99</v>
      </c>
      <c r="B92" s="63">
        <v>506</v>
      </c>
      <c r="C92" s="63">
        <v>5</v>
      </c>
      <c r="D92" s="63">
        <v>506</v>
      </c>
      <c r="E92" s="93">
        <v>0.9</v>
      </c>
      <c r="F92" s="93"/>
      <c r="G92" s="93">
        <v>0.1</v>
      </c>
      <c r="H92" s="93"/>
      <c r="I92" s="56">
        <f t="shared" si="3"/>
        <v>12.833333333333334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Sapin de Nordmann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365.70510182727895</v>
      </c>
      <c r="T3" s="62">
        <f>IF('Données projet'!E9&gt;30,$R$33-$H$33,LOOKUP('Données projet'!$E$9,$A$3:$A$203,R3:R203)-LOOKUP('Données projet'!$E$9,$A$3:$A$203,$H$3:$H$203))</f>
        <v>436.23833844962525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295.83974441964551</v>
      </c>
      <c r="AO3" s="62">
        <f>IF('Données projet'!E10&gt;30,$AM$33-$H$33,LOOKUP('Données projet'!$E$10,$A$3:$A$203,AM3:AM203)-LOOKUP('Données projet'!$E$10,$A$3:$A$203,$H$3:$H$203))</f>
        <v>212.24900914818096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206.96327004330573</v>
      </c>
      <c r="BJ3" s="62">
        <f>IF('Données projet'!E11&gt;30,$BH$33-$H$33,LOOKUP('Données projet'!$E$11,$A$3:$A$203,BH3:BH203)-LOOKUP('Données projet'!$E$11,$A$3:$A$203,$H$3:$H$203))</f>
        <v>106.52590664430284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7.0434782608695654</v>
      </c>
      <c r="N4" s="14">
        <f>IF('Données projet'!$A$36&gt;35,N3+M4-V3,IF(A4&lt;'Données projet'!$A$36,$K$205^A4,IF(A4='Données projet'!$A$36,'Données projet'!$B$36,N3+M4-V3)))</f>
        <v>1.2475727214128975</v>
      </c>
      <c r="O4" s="14">
        <f>N4*VLOOKUP('Données projet'!$B$9,Paramètres!$A$1:$I$89,3,0)*VLOOKUP('Données projet'!$B$9,Paramètres!$A$1:$I$89,5,0)</f>
        <v>0.69739315126980972</v>
      </c>
      <c r="P4" s="14">
        <f>EXP(-1.0587+0.8836*LN(O4)+0.284)</f>
        <v>0.33515749918532894</v>
      </c>
      <c r="Q4" s="22">
        <f t="shared" ref="Q4:Q34" si="2">(O4+P4)*0.475*44/12</f>
        <v>1.7983590495427</v>
      </c>
      <c r="R4" s="62">
        <f t="shared" si="0"/>
        <v>259.68724793843154</v>
      </c>
      <c r="S4" s="62">
        <f ca="1">AVERAGE(OFFSET($R$3,0,0,'Données projet'!$E$9+1,1))-AVERAGE(OFFSET($H$3,0,0,'Données projet'!$E$9+1,1))</f>
        <v>365.70510182727895</v>
      </c>
      <c r="T4" s="62">
        <f>$T$3</f>
        <v>436.23833844962525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4.3703703703703702</v>
      </c>
      <c r="AI4" s="14">
        <f>IF('Données projet'!$A$62&gt;35,AI3+AH4-AQ3,IF(A4&lt;'Données projet'!$A$62,$AF$205^A4,IF(A4='Données projet'!$A$62,'Données projet'!$B$62,AI3+AH4-AQ3)))</f>
        <v>1.1932635389591795</v>
      </c>
      <c r="AJ4" s="14">
        <f>AI4*VLOOKUP('Données projet'!$B$10,Paramètres!$A$1:$I$89,3,0)*VLOOKUP('Données projet'!$B$10,Paramètres!$A$1:$I$89,5,0)</f>
        <v>0.71357159629758937</v>
      </c>
      <c r="AK4" s="14">
        <f>EXP(-1.0587+0.8836*LN(AJ4)+0.284)</f>
        <v>0.34201841351504586</v>
      </c>
      <c r="AL4" s="22">
        <f t="shared" ref="AL4:AL67" si="4">(AJ4+AK4)*0.475*44/12</f>
        <v>1.8384859337570063</v>
      </c>
      <c r="AM4" s="62">
        <f t="shared" ref="AM4:AM67" si="5">AL4+(AD4+AE4)*44/12</f>
        <v>259.72737482264586</v>
      </c>
      <c r="AN4" s="62">
        <f ca="1">AVERAGE(OFFSET($AM$3,0,0,'Données projet'!$E$10+1,1))-AVERAGE(OFFSET($H$3,0,0,'Données projet'!$E$10+1,1))</f>
        <v>295.83974441964551</v>
      </c>
      <c r="AO4" s="62">
        <f>$AO$3</f>
        <v>212.24900914818096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2.1228070175438596</v>
      </c>
      <c r="BD4" s="13">
        <f>IF('Données projet'!$A$88&gt;35,BD3+BC4-BL3,IF(A4&lt;'Données projet'!$A$88,$BA$205^A4,IF(A4='Données projet'!$A$88,'Données projet'!$B$88,BD3+BC4-BL3)))</f>
        <v>2.1228070175438596</v>
      </c>
      <c r="BE4" s="14">
        <f>BD4*VLOOKUP('Données projet'!$B$11,Paramètres!$A$1:$I$89,3,0)*VLOOKUP('Données projet'!$B$11,Paramètres!$A$1:$I$89,5,0)</f>
        <v>1.0210701754385965</v>
      </c>
      <c r="BF4" s="14">
        <f>EXP(-1.0587+0.8836*LN(BE4)+0.284)</f>
        <v>0.46941134870491369</v>
      </c>
      <c r="BG4" s="22">
        <f t="shared" ref="BG4:BG67" si="7">(BE4+BF4)*0.475*44/12</f>
        <v>2.5959219878832802</v>
      </c>
      <c r="BH4" s="62">
        <f t="shared" ref="BH4:BH67" si="8">BG4+(AY4+AZ4)*44/12</f>
        <v>260.48481087677214</v>
      </c>
      <c r="BI4" s="62">
        <f ca="1">AVERAGE(OFFSET($BH$3,0,0,'Données projet'!$E$11+1,1))-AVERAGE(OFFSET($H$3,0,0,'Données projet'!$E$11+1,1))</f>
        <v>206.96327004330573</v>
      </c>
      <c r="BJ4" s="62">
        <f>$BJ$3</f>
        <v>106.52590664430284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7.0434782608695654</v>
      </c>
      <c r="N5" s="14">
        <f>IF('Données projet'!$A$36&gt;35,N4+M5-V4,IF(A5&lt;'Données projet'!$A$36,$K$205^A5,IF(A5='Données projet'!$A$36,'Données projet'!$B$36,N4+M5-V4)))</f>
        <v>1.5564376952135832</v>
      </c>
      <c r="O5" s="14">
        <f>N5*VLOOKUP('Données projet'!$B$9,Paramètres!$A$1:$I$89,3,0)*VLOOKUP('Données projet'!$B$9,Paramètres!$A$1:$I$89,5,0)</f>
        <v>0.87004867162439303</v>
      </c>
      <c r="P5" s="14">
        <f t="shared" ref="P5:P68" si="33">EXP(-1.0587+0.8836*LN(O5)+0.284)</f>
        <v>0.40750481451495241</v>
      </c>
      <c r="Q5" s="22">
        <f t="shared" si="2"/>
        <v>2.2250723216926933</v>
      </c>
      <c r="R5" s="62">
        <f t="shared" si="0"/>
        <v>261.33618343280386</v>
      </c>
      <c r="S5" s="62">
        <f ca="1">AVERAGE(OFFSET($R$3,0,0,'Données projet'!$E$9+1,1))-AVERAGE(OFFSET($H$3,0,0,'Données projet'!$E$9+1,1))</f>
        <v>365.70510182727895</v>
      </c>
      <c r="T5" s="62">
        <f t="shared" ref="T5:T68" si="34">$T$3</f>
        <v>436.23833844962525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4.3703703703703702</v>
      </c>
      <c r="AI5" s="14">
        <f>IF('Données projet'!$A$62&gt;35,AI4+AH5-AQ4,IF(A5&lt;'Données projet'!$A$62,$AF$205^A5,IF(A5='Données projet'!$A$62,'Données projet'!$B$62,AI4+AH5-AQ4)))</f>
        <v>1.4238778734093853</v>
      </c>
      <c r="AJ5" s="14">
        <f>AI5*VLOOKUP('Données projet'!$B$10,Paramètres!$A$1:$I$89,3,0)*VLOOKUP('Données projet'!$B$10,Paramètres!$A$1:$I$89,5,0)</f>
        <v>0.85147896829881242</v>
      </c>
      <c r="AK5" s="14">
        <f t="shared" ref="AK5:AK68" si="35">EXP(-1.0587+0.8836*LN(AJ5)+0.284)</f>
        <v>0.39981008543020569</v>
      </c>
      <c r="AL5" s="22">
        <f t="shared" si="4"/>
        <v>2.179328435244706</v>
      </c>
      <c r="AM5" s="62">
        <f t="shared" si="5"/>
        <v>261.29043954635586</v>
      </c>
      <c r="AN5" s="62">
        <f ca="1">AVERAGE(OFFSET($AM$3,0,0,'Données projet'!$E$10+1,1))-AVERAGE(OFFSET($H$3,0,0,'Données projet'!$E$10+1,1))</f>
        <v>295.83974441964551</v>
      </c>
      <c r="AO5" s="62">
        <f t="shared" ref="AO5:AO68" si="36">$AO$3</f>
        <v>212.24900914818096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2.1228070175438596</v>
      </c>
      <c r="BD5" s="13">
        <f>IF('Données projet'!$A$88&gt;35,BD4+BC5-BL4,IF(A5&lt;'Données projet'!$A$88,$BA$205^A5,IF(A5='Données projet'!$A$88,'Données projet'!$B$88,BD4+BC5-BL4)))</f>
        <v>4.2456140350877192</v>
      </c>
      <c r="BE5" s="14">
        <f>BD5*VLOOKUP('Données projet'!$B$11,Paramètres!$A$1:$I$89,3,0)*VLOOKUP('Données projet'!$B$11,Paramètres!$A$1:$I$89,5,0)</f>
        <v>2.0421403508771929</v>
      </c>
      <c r="BF5" s="14">
        <f t="shared" ref="BF5:BF68" si="37">EXP(-1.0587+0.8836*LN(BE5)+0.284)</f>
        <v>0.86605144223090713</v>
      </c>
      <c r="BG5" s="22">
        <f t="shared" si="7"/>
        <v>5.0651007063299405</v>
      </c>
      <c r="BH5" s="62">
        <f t="shared" si="8"/>
        <v>264.17621181744107</v>
      </c>
      <c r="BI5" s="62">
        <f ca="1">AVERAGE(OFFSET($BH$3,0,0,'Données projet'!$E$11+1,1))-AVERAGE(OFFSET($H$3,0,0,'Données projet'!$E$11+1,1))</f>
        <v>206.96327004330573</v>
      </c>
      <c r="BJ5" s="62">
        <f t="shared" ref="BJ5:BJ68" si="38">$BJ$3</f>
        <v>106.52590664430284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7.0434782608695654</v>
      </c>
      <c r="N6" s="14">
        <f>IF('Données projet'!$A$36&gt;35,N5+M6-V5,IF(A6&lt;'Données projet'!$A$36,$K$205^A6,IF(A6='Données projet'!$A$36,'Données projet'!$B$36,N5+M6-V5)))</f>
        <v>1.941769211127228</v>
      </c>
      <c r="O6" s="14">
        <f>N6*VLOOKUP('Données projet'!$B$9,Paramètres!$A$1:$I$89,3,0)*VLOOKUP('Données projet'!$B$9,Paramètres!$A$1:$I$89,5,0)</f>
        <v>1.0854489890201204</v>
      </c>
      <c r="P6" s="14">
        <f t="shared" si="33"/>
        <v>0.49546906829329518</v>
      </c>
      <c r="Q6" s="22">
        <f t="shared" si="2"/>
        <v>2.7534322831541989</v>
      </c>
      <c r="R6" s="62">
        <f t="shared" si="0"/>
        <v>263.08676561648753</v>
      </c>
      <c r="S6" s="62">
        <f ca="1">AVERAGE(OFFSET($R$3,0,0,'Données projet'!$E$9+1,1))-AVERAGE(OFFSET($H$3,0,0,'Données projet'!$E$9+1,1))</f>
        <v>365.70510182727895</v>
      </c>
      <c r="T6" s="62">
        <f t="shared" si="34"/>
        <v>436.23833844962525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4.3703703703703702</v>
      </c>
      <c r="AI6" s="14">
        <f>IF('Données projet'!$A$62&gt;35,AI5+AH6-AQ5,IF(A6&lt;'Données projet'!$A$62,$AF$205^A6,IF(A6='Données projet'!$A$62,'Données projet'!$B$62,AI5+AH6-AQ5)))</f>
        <v>1.6990615502701536</v>
      </c>
      <c r="AJ6" s="14">
        <f>AI6*VLOOKUP('Données projet'!$B$10,Paramètres!$A$1:$I$89,3,0)*VLOOKUP('Données projet'!$B$10,Paramètres!$A$1:$I$89,5,0)</f>
        <v>1.0160388070615518</v>
      </c>
      <c r="AK6" s="14">
        <f t="shared" si="35"/>
        <v>0.46736695480483653</v>
      </c>
      <c r="AL6" s="22">
        <f t="shared" si="4"/>
        <v>2.5835983685839596</v>
      </c>
      <c r="AM6" s="62">
        <f t="shared" si="5"/>
        <v>262.91693170191729</v>
      </c>
      <c r="AN6" s="62">
        <f ca="1">AVERAGE(OFFSET($AM$3,0,0,'Données projet'!$E$10+1,1))-AVERAGE(OFFSET($H$3,0,0,'Données projet'!$E$10+1,1))</f>
        <v>295.83974441964551</v>
      </c>
      <c r="AO6" s="62">
        <f t="shared" si="36"/>
        <v>212.24900914818096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2.1228070175438596</v>
      </c>
      <c r="BD6" s="13">
        <f>IF('Données projet'!$A$88&gt;35,BD5+BC6-BL5,IF(A6&lt;'Données projet'!$A$88,$BA$205^A6,IF(A6='Données projet'!$A$88,'Données projet'!$B$88,BD5+BC6-BL5)))</f>
        <v>6.3684210526315788</v>
      </c>
      <c r="BE6" s="14">
        <f>BD6*VLOOKUP('Données projet'!$B$11,Paramètres!$A$1:$I$89,3,0)*VLOOKUP('Données projet'!$B$11,Paramètres!$A$1:$I$89,5,0)</f>
        <v>3.0632105263157894</v>
      </c>
      <c r="BF6" s="14">
        <f t="shared" si="37"/>
        <v>1.2391900732226091</v>
      </c>
      <c r="BG6" s="22">
        <f t="shared" si="7"/>
        <v>7.49334771086271</v>
      </c>
      <c r="BH6" s="62">
        <f t="shared" si="8"/>
        <v>267.82668104419605</v>
      </c>
      <c r="BI6" s="62">
        <f ca="1">AVERAGE(OFFSET($BH$3,0,0,'Données projet'!$E$11+1,1))-AVERAGE(OFFSET($H$3,0,0,'Données projet'!$E$11+1,1))</f>
        <v>206.96327004330573</v>
      </c>
      <c r="BJ6" s="62">
        <f t="shared" si="38"/>
        <v>106.52590664430284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7.0434782608695654</v>
      </c>
      <c r="N7" s="14">
        <f>IF('Données projet'!$A$36&gt;35,N6+M7-V6,IF(A7&lt;'Données projet'!$A$36,$K$205^A7,IF(A7='Données projet'!$A$36,'Données projet'!$B$36,N6+M7-V6)))</f>
        <v>2.4224982990817709</v>
      </c>
      <c r="O7" s="14">
        <f>N7*VLOOKUP('Données projet'!$B$9,Paramètres!$A$1:$I$89,3,0)*VLOOKUP('Données projet'!$B$9,Paramètres!$A$1:$I$89,5,0)</f>
        <v>1.3541765491867099</v>
      </c>
      <c r="P7" s="14">
        <f t="shared" si="33"/>
        <v>0.60242134299107364</v>
      </c>
      <c r="Q7" s="22">
        <f t="shared" si="2"/>
        <v>3.4077413288763059</v>
      </c>
      <c r="R7" s="62">
        <f t="shared" si="0"/>
        <v>264.96329688443183</v>
      </c>
      <c r="S7" s="62">
        <f ca="1">AVERAGE(OFFSET($R$3,0,0,'Données projet'!$E$9+1,1))-AVERAGE(OFFSET($H$3,0,0,'Données projet'!$E$9+1,1))</f>
        <v>365.70510182727895</v>
      </c>
      <c r="T7" s="62">
        <f t="shared" si="34"/>
        <v>436.23833844962525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4.3703703703703702</v>
      </c>
      <c r="AI7" s="14">
        <f>IF('Données projet'!$A$62&gt;35,AI6+AH7-AQ6,IF(A7&lt;'Données projet'!$A$62,$AF$205^A7,IF(A7='Données projet'!$A$62,'Données projet'!$B$62,AI6+AH7-AQ6)))</f>
        <v>2.0274281983848335</v>
      </c>
      <c r="AJ7" s="14">
        <f>AI7*VLOOKUP('Données projet'!$B$10,Paramètres!$A$1:$I$89,3,0)*VLOOKUP('Données projet'!$B$10,Paramètres!$A$1:$I$89,5,0)</f>
        <v>1.2124020626341305</v>
      </c>
      <c r="AK7" s="14">
        <f t="shared" si="35"/>
        <v>0.54633907048269681</v>
      </c>
      <c r="AL7" s="22">
        <f t="shared" si="4"/>
        <v>3.0631408068451407</v>
      </c>
      <c r="AM7" s="62">
        <f t="shared" si="5"/>
        <v>264.61869636240067</v>
      </c>
      <c r="AN7" s="62">
        <f ca="1">AVERAGE(OFFSET($AM$3,0,0,'Données projet'!$E$10+1,1))-AVERAGE(OFFSET($H$3,0,0,'Données projet'!$E$10+1,1))</f>
        <v>295.83974441964551</v>
      </c>
      <c r="AO7" s="62">
        <f t="shared" si="36"/>
        <v>212.24900914818096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2.1228070175438596</v>
      </c>
      <c r="BD7" s="13">
        <f>IF('Données projet'!$A$88&gt;35,BD6+BC7-BL6,IF(A7&lt;'Données projet'!$A$88,$BA$205^A7,IF(A7='Données projet'!$A$88,'Données projet'!$B$88,BD6+BC7-BL6)))</f>
        <v>8.4912280701754383</v>
      </c>
      <c r="BE7" s="14">
        <f>BD7*VLOOKUP('Données projet'!$B$11,Paramètres!$A$1:$I$89,3,0)*VLOOKUP('Données projet'!$B$11,Paramètres!$A$1:$I$89,5,0)</f>
        <v>4.0842807017543858</v>
      </c>
      <c r="BF7" s="14">
        <f t="shared" si="37"/>
        <v>1.5978418558894611</v>
      </c>
      <c r="BG7" s="22">
        <f t="shared" si="7"/>
        <v>9.8963634545630335</v>
      </c>
      <c r="BH7" s="62">
        <f t="shared" si="8"/>
        <v>271.45191901011856</v>
      </c>
      <c r="BI7" s="62">
        <f ca="1">AVERAGE(OFFSET($BH$3,0,0,'Données projet'!$E$11+1,1))-AVERAGE(OFFSET($H$3,0,0,'Données projet'!$E$11+1,1))</f>
        <v>206.96327004330573</v>
      </c>
      <c r="BJ7" s="62">
        <f t="shared" si="38"/>
        <v>106.52590664430284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7.0434782608695654</v>
      </c>
      <c r="N8" s="14">
        <f>IF('Données projet'!$A$36&gt;35,N7+M8-V7,IF(A8&lt;'Données projet'!$A$36,$K$205^A8,IF(A8='Données projet'!$A$36,'Données projet'!$B$36,N7+M8-V7)))</f>
        <v>3.0222427956035602</v>
      </c>
      <c r="O8" s="14">
        <f>N8*VLOOKUP('Données projet'!$B$9,Paramètres!$A$1:$I$89,3,0)*VLOOKUP('Données projet'!$B$9,Paramètres!$A$1:$I$89,5,0)</f>
        <v>1.6894337227423903</v>
      </c>
      <c r="P8" s="14">
        <f t="shared" si="33"/>
        <v>0.73246040512935062</v>
      </c>
      <c r="Q8" s="22">
        <f t="shared" si="2"/>
        <v>4.2181322727099486</v>
      </c>
      <c r="R8" s="62">
        <f t="shared" si="0"/>
        <v>266.99591005048774</v>
      </c>
      <c r="S8" s="62">
        <f ca="1">AVERAGE(OFFSET($R$3,0,0,'Données projet'!$E$9+1,1))-AVERAGE(OFFSET($H$3,0,0,'Données projet'!$E$9+1,1))</f>
        <v>365.70510182727895</v>
      </c>
      <c r="T8" s="62">
        <f t="shared" si="34"/>
        <v>436.23833844962525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4.3703703703703702</v>
      </c>
      <c r="AI8" s="14">
        <f>IF('Données projet'!$A$62&gt;35,AI7+AH8-AQ7,IF(A8&lt;'Données projet'!$A$62,$AF$205^A8,IF(A8='Données projet'!$A$62,'Données projet'!$B$62,AI7+AH8-AQ7)))</f>
        <v>2.4192561469903198</v>
      </c>
      <c r="AJ8" s="14">
        <f>AI8*VLOOKUP('Données projet'!$B$10,Paramètres!$A$1:$I$89,3,0)*VLOOKUP('Données projet'!$B$10,Paramètres!$A$1:$I$89,5,0)</f>
        <v>1.4467151759002115</v>
      </c>
      <c r="AK8" s="14">
        <f t="shared" si="35"/>
        <v>0.63865529401953391</v>
      </c>
      <c r="AL8" s="22">
        <f t="shared" si="4"/>
        <v>3.6320202351102231</v>
      </c>
      <c r="AM8" s="62">
        <f t="shared" si="5"/>
        <v>266.40979801288802</v>
      </c>
      <c r="AN8" s="62">
        <f ca="1">AVERAGE(OFFSET($AM$3,0,0,'Données projet'!$E$10+1,1))-AVERAGE(OFFSET($H$3,0,0,'Données projet'!$E$10+1,1))</f>
        <v>295.83974441964551</v>
      </c>
      <c r="AO8" s="62">
        <f t="shared" si="36"/>
        <v>212.24900914818096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2.1228070175438596</v>
      </c>
      <c r="BD8" s="13">
        <f>IF('Données projet'!$A$88&gt;35,BD7+BC8-BL7,IF(A8&lt;'Données projet'!$A$88,$BA$205^A8,IF(A8='Données projet'!$A$88,'Données projet'!$B$88,BD7+BC8-BL7)))</f>
        <v>10.614035087719298</v>
      </c>
      <c r="BE8" s="14">
        <f>BD8*VLOOKUP('Données projet'!$B$11,Paramètres!$A$1:$I$89,3,0)*VLOOKUP('Données projet'!$B$11,Paramètres!$A$1:$I$89,5,0)</f>
        <v>5.1053508771929828</v>
      </c>
      <c r="BF8" s="14">
        <f t="shared" si="37"/>
        <v>1.9460925089097767</v>
      </c>
      <c r="BG8" s="22">
        <f t="shared" si="7"/>
        <v>12.281263897462305</v>
      </c>
      <c r="BH8" s="62">
        <f t="shared" si="8"/>
        <v>275.05904167524005</v>
      </c>
      <c r="BI8" s="62">
        <f ca="1">AVERAGE(OFFSET($BH$3,0,0,'Données projet'!$E$11+1,1))-AVERAGE(OFFSET($H$3,0,0,'Données projet'!$E$11+1,1))</f>
        <v>206.96327004330573</v>
      </c>
      <c r="BJ8" s="62">
        <f t="shared" si="38"/>
        <v>106.52590664430284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7.0434782608695654</v>
      </c>
      <c r="N9" s="14">
        <f>IF('Données projet'!$A$36&gt;35,N8+M9-V8,IF(A9&lt;'Données projet'!$A$36,$K$205^A9,IF(A9='Données projet'!$A$36,'Données projet'!$B$36,N8+M9-V8)))</f>
        <v>3.7704676692816572</v>
      </c>
      <c r="O9" s="14">
        <f>N9*VLOOKUP('Données projet'!$B$9,Paramètres!$A$1:$I$89,3,0)*VLOOKUP('Données projet'!$B$9,Paramètres!$A$1:$I$89,5,0)</f>
        <v>2.1076914271284464</v>
      </c>
      <c r="P9" s="14">
        <f t="shared" si="33"/>
        <v>0.89056978363099237</v>
      </c>
      <c r="Q9" s="22">
        <f t="shared" si="2"/>
        <v>5.2219716087393548</v>
      </c>
      <c r="R9" s="62">
        <f t="shared" si="0"/>
        <v>269.22197160873935</v>
      </c>
      <c r="S9" s="62">
        <f ca="1">AVERAGE(OFFSET($R$3,0,0,'Données projet'!$E$9+1,1))-AVERAGE(OFFSET($H$3,0,0,'Données projet'!$E$9+1,1))</f>
        <v>365.70510182727895</v>
      </c>
      <c r="T9" s="62">
        <f t="shared" si="34"/>
        <v>436.23833844962525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4.3703703703703702</v>
      </c>
      <c r="AI9" s="14">
        <f>IF('Données projet'!$A$62&gt;35,AI8+AH9-AQ8,IF(A9&lt;'Données projet'!$A$62,$AF$205^A9,IF(A9='Données projet'!$A$62,'Données projet'!$B$62,AI8+AH9-AQ8)))</f>
        <v>2.8868101516064182</v>
      </c>
      <c r="AJ9" s="14">
        <f>AI9*VLOOKUP('Données projet'!$B$10,Paramètres!$A$1:$I$89,3,0)*VLOOKUP('Données projet'!$B$10,Paramètres!$A$1:$I$89,5,0)</f>
        <v>1.7263124706606381</v>
      </c>
      <c r="AK9" s="14">
        <f t="shared" si="35"/>
        <v>0.7465704113359678</v>
      </c>
      <c r="AL9" s="22">
        <f t="shared" si="4"/>
        <v>4.3069376861440878</v>
      </c>
      <c r="AM9" s="62">
        <f t="shared" si="5"/>
        <v>268.30693768614407</v>
      </c>
      <c r="AN9" s="62">
        <f ca="1">AVERAGE(OFFSET($AM$3,0,0,'Données projet'!$E$10+1,1))-AVERAGE(OFFSET($H$3,0,0,'Données projet'!$E$10+1,1))</f>
        <v>295.83974441964551</v>
      </c>
      <c r="AO9" s="62">
        <f t="shared" si="36"/>
        <v>212.24900914818096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2.1228070175438596</v>
      </c>
      <c r="BD9" s="13">
        <f>IF('Données projet'!$A$88&gt;35,BD8+BC9-BL8,IF(A9&lt;'Données projet'!$A$88,$BA$205^A9,IF(A9='Données projet'!$A$88,'Données projet'!$B$88,BD8+BC9-BL8)))</f>
        <v>12.736842105263158</v>
      </c>
      <c r="BE9" s="14">
        <f>BD9*VLOOKUP('Données projet'!$B$11,Paramètres!$A$1:$I$89,3,0)*VLOOKUP('Données projet'!$B$11,Paramètres!$A$1:$I$89,5,0)</f>
        <v>6.1264210526315788</v>
      </c>
      <c r="BF9" s="14">
        <f t="shared" si="37"/>
        <v>2.2862726968011846</v>
      </c>
      <c r="BG9" s="22">
        <f t="shared" si="7"/>
        <v>14.652108280262063</v>
      </c>
      <c r="BH9" s="62">
        <f t="shared" si="8"/>
        <v>278.65210828026204</v>
      </c>
      <c r="BI9" s="62">
        <f ca="1">AVERAGE(OFFSET($BH$3,0,0,'Données projet'!$E$11+1,1))-AVERAGE(OFFSET($H$3,0,0,'Données projet'!$E$11+1,1))</f>
        <v>206.96327004330573</v>
      </c>
      <c r="BJ9" s="62">
        <f t="shared" si="38"/>
        <v>106.52590664430284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7.0434782608695654</v>
      </c>
      <c r="N10" s="14">
        <f>IF('Données projet'!$A$36&gt;35,N9+M10-V9,IF(A10&lt;'Données projet'!$A$36,$K$205^A10,IF(A10='Données projet'!$A$36,'Données projet'!$B$36,N9+M10-V9)))</f>
        <v>4.7039326111650617</v>
      </c>
      <c r="O10" s="14">
        <f>N10*VLOOKUP('Données projet'!$B$9,Paramètres!$A$1:$I$89,3,0)*VLOOKUP('Données projet'!$B$9,Paramètres!$A$1:$I$89,5,0)</f>
        <v>2.6294983296412697</v>
      </c>
      <c r="P10" s="14">
        <f t="shared" si="33"/>
        <v>1.0828087552070351</v>
      </c>
      <c r="Q10" s="22">
        <f t="shared" si="2"/>
        <v>6.4656015061107972</v>
      </c>
      <c r="R10" s="62">
        <f t="shared" si="0"/>
        <v>271.687823728333</v>
      </c>
      <c r="S10" s="62">
        <f ca="1">AVERAGE(OFFSET($R$3,0,0,'Données projet'!$E$9+1,1))-AVERAGE(OFFSET($H$3,0,0,'Données projet'!$E$9+1,1))</f>
        <v>365.70510182727895</v>
      </c>
      <c r="T10" s="62">
        <f t="shared" si="34"/>
        <v>436.23833844962525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4.3703703703703702</v>
      </c>
      <c r="AI10" s="14">
        <f>IF('Données projet'!$A$62&gt;35,AI9+AH10-AQ9,IF(A10&lt;'Données projet'!$A$62,$AF$205^A10,IF(A10='Données projet'!$A$62,'Données projet'!$B$62,AI9+AH10-AQ9)))</f>
        <v>3.4447252978091596</v>
      </c>
      <c r="AJ10" s="14">
        <f>AI10*VLOOKUP('Données projet'!$B$10,Paramètres!$A$1:$I$89,3,0)*VLOOKUP('Données projet'!$B$10,Paramètres!$A$1:$I$89,5,0)</f>
        <v>2.0599457280898776</v>
      </c>
      <c r="AK10" s="14">
        <f t="shared" si="35"/>
        <v>0.87272020493939328</v>
      </c>
      <c r="AL10" s="22">
        <f t="shared" si="4"/>
        <v>5.1077265000259793</v>
      </c>
      <c r="AM10" s="62">
        <f t="shared" si="5"/>
        <v>270.32994872224822</v>
      </c>
      <c r="AN10" s="62">
        <f ca="1">AVERAGE(OFFSET($AM$3,0,0,'Données projet'!$E$10+1,1))-AVERAGE(OFFSET($H$3,0,0,'Données projet'!$E$10+1,1))</f>
        <v>295.83974441964551</v>
      </c>
      <c r="AO10" s="62">
        <f t="shared" si="36"/>
        <v>212.24900914818096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2.1228070175438596</v>
      </c>
      <c r="BD10" s="13">
        <f>IF('Données projet'!$A$88&gt;35,BD9+BC10-BL9,IF(A10&lt;'Données projet'!$A$88,$BA$205^A10,IF(A10='Données projet'!$A$88,'Données projet'!$B$88,BD9+BC10-BL9)))</f>
        <v>14.859649122807017</v>
      </c>
      <c r="BE10" s="14">
        <f>BD10*VLOOKUP('Données projet'!$B$11,Paramètres!$A$1:$I$89,3,0)*VLOOKUP('Données projet'!$B$11,Paramètres!$A$1:$I$89,5,0)</f>
        <v>7.1474912280701757</v>
      </c>
      <c r="BF10" s="14">
        <f t="shared" si="37"/>
        <v>2.6198849088617431</v>
      </c>
      <c r="BG10" s="22">
        <f t="shared" si="7"/>
        <v>17.011513438489757</v>
      </c>
      <c r="BH10" s="62">
        <f t="shared" si="8"/>
        <v>282.233735660712</v>
      </c>
      <c r="BI10" s="62">
        <f ca="1">AVERAGE(OFFSET($BH$3,0,0,'Données projet'!$E$11+1,1))-AVERAGE(OFFSET($H$3,0,0,'Données projet'!$E$11+1,1))</f>
        <v>206.96327004330573</v>
      </c>
      <c r="BJ10" s="62">
        <f t="shared" si="38"/>
        <v>106.52590664430284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7.0434782608695654</v>
      </c>
      <c r="N11" s="14">
        <f>IF('Données projet'!$A$36&gt;35,N10+M11-V10,IF(A11&lt;'Données projet'!$A$36,$K$205^A11,IF(A11='Données projet'!$A$36,'Données projet'!$B$36,N10+M11-V10)))</f>
        <v>5.8684980090540737</v>
      </c>
      <c r="O11" s="14">
        <f>N11*VLOOKUP('Données projet'!$B$9,Paramètres!$A$1:$I$89,3,0)*VLOOKUP('Données projet'!$B$9,Paramètres!$A$1:$I$89,5,0)</f>
        <v>3.2804903870612274</v>
      </c>
      <c r="P11" s="14">
        <f t="shared" si="33"/>
        <v>1.3165445559725206</v>
      </c>
      <c r="Q11" s="22">
        <f t="shared" si="2"/>
        <v>8.0065025257837785</v>
      </c>
      <c r="R11" s="62">
        <f t="shared" si="0"/>
        <v>274.45094697022824</v>
      </c>
      <c r="S11" s="62">
        <f ca="1">AVERAGE(OFFSET($R$3,0,0,'Données projet'!$E$9+1,1))-AVERAGE(OFFSET($H$3,0,0,'Données projet'!$E$9+1,1))</f>
        <v>365.70510182727895</v>
      </c>
      <c r="T11" s="62">
        <f t="shared" si="34"/>
        <v>436.23833844962525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4.3703703703703702</v>
      </c>
      <c r="AI11" s="14">
        <f>IF('Données projet'!$A$62&gt;35,AI10+AH11-AQ10,IF(A11&lt;'Données projet'!$A$62,$AF$205^A11,IF(A11='Données projet'!$A$62,'Données projet'!$B$62,AI10+AH11-AQ10)))</f>
        <v>4.110465099605972</v>
      </c>
      <c r="AJ11" s="14">
        <f>AI11*VLOOKUP('Données projet'!$B$10,Paramètres!$A$1:$I$89,3,0)*VLOOKUP('Données projet'!$B$10,Paramètres!$A$1:$I$89,5,0)</f>
        <v>2.4580581295643715</v>
      </c>
      <c r="AK11" s="14">
        <f t="shared" si="35"/>
        <v>1.0201858318313493</v>
      </c>
      <c r="AL11" s="22">
        <f t="shared" si="4"/>
        <v>6.0579415660975471</v>
      </c>
      <c r="AM11" s="62">
        <f t="shared" si="5"/>
        <v>272.50238601054201</v>
      </c>
      <c r="AN11" s="62">
        <f ca="1">AVERAGE(OFFSET($AM$3,0,0,'Données projet'!$E$10+1,1))-AVERAGE(OFFSET($H$3,0,0,'Données projet'!$E$10+1,1))</f>
        <v>295.83974441964551</v>
      </c>
      <c r="AO11" s="62">
        <f t="shared" si="36"/>
        <v>212.24900914818096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2.1228070175438596</v>
      </c>
      <c r="BD11" s="13">
        <f>IF('Données projet'!$A$88&gt;35,BD10+BC11-BL10,IF(A11&lt;'Données projet'!$A$88,$BA$205^A11,IF(A11='Données projet'!$A$88,'Données projet'!$B$88,BD10+BC11-BL10)))</f>
        <v>16.982456140350877</v>
      </c>
      <c r="BE11" s="14">
        <f>BD11*VLOOKUP('Données projet'!$B$11,Paramètres!$A$1:$I$89,3,0)*VLOOKUP('Données projet'!$B$11,Paramètres!$A$1:$I$89,5,0)</f>
        <v>8.1685614035087717</v>
      </c>
      <c r="BF11" s="14">
        <f t="shared" si="37"/>
        <v>2.9479756882057928</v>
      </c>
      <c r="BG11" s="22">
        <f t="shared" si="7"/>
        <v>19.361302101402867</v>
      </c>
      <c r="BH11" s="62">
        <f t="shared" si="8"/>
        <v>285.80574654584734</v>
      </c>
      <c r="BI11" s="62">
        <f ca="1">AVERAGE(OFFSET($BH$3,0,0,'Données projet'!$E$11+1,1))-AVERAGE(OFFSET($H$3,0,0,'Données projet'!$E$11+1,1))</f>
        <v>206.96327004330573</v>
      </c>
      <c r="BJ11" s="62">
        <f t="shared" si="38"/>
        <v>106.52590664430284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7.0434782608695654</v>
      </c>
      <c r="N12" s="14">
        <f>IF('Données projet'!$A$36&gt;35,N11+M12-V11,IF(A12&lt;'Données projet'!$A$36,$K$205^A12,IF(A12='Données projet'!$A$36,'Données projet'!$B$36,N11+M12-V11)))</f>
        <v>7.3213780317617614</v>
      </c>
      <c r="O12" s="14">
        <f>N12*VLOOKUP('Données projet'!$B$9,Paramètres!$A$1:$I$89,3,0)*VLOOKUP('Données projet'!$B$9,Paramètres!$A$1:$I$89,5,0)</f>
        <v>4.0926503197548252</v>
      </c>
      <c r="P12" s="14">
        <f t="shared" si="33"/>
        <v>1.6007347184124618</v>
      </c>
      <c r="Q12" s="22">
        <f t="shared" si="2"/>
        <v>9.9159789414746928</v>
      </c>
      <c r="R12" s="62">
        <f t="shared" si="0"/>
        <v>277.58264560814138</v>
      </c>
      <c r="S12" s="62">
        <f ca="1">AVERAGE(OFFSET($R$3,0,0,'Données projet'!$E$9+1,1))-AVERAGE(OFFSET($H$3,0,0,'Données projet'!$E$9+1,1))</f>
        <v>365.70510182727895</v>
      </c>
      <c r="T12" s="62">
        <f t="shared" si="34"/>
        <v>436.23833844962525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4.3703703703703702</v>
      </c>
      <c r="AI12" s="14">
        <f>IF('Données projet'!$A$62&gt;35,AI11+AH12-AQ11,IF(A12&lt;'Données projet'!$A$62,$AF$205^A12,IF(A12='Données projet'!$A$62,'Données projet'!$B$62,AI11+AH12-AQ11)))</f>
        <v>4.9048681315240179</v>
      </c>
      <c r="AJ12" s="14">
        <f>AI12*VLOOKUP('Données projet'!$B$10,Paramètres!$A$1:$I$89,3,0)*VLOOKUP('Données projet'!$B$10,Paramètres!$A$1:$I$89,5,0)</f>
        <v>2.9331111426513625</v>
      </c>
      <c r="AK12" s="14">
        <f t="shared" si="35"/>
        <v>1.192569079504352</v>
      </c>
      <c r="AL12" s="22">
        <f t="shared" si="4"/>
        <v>7.1855597202545356</v>
      </c>
      <c r="AM12" s="62">
        <f t="shared" si="5"/>
        <v>274.85222638692125</v>
      </c>
      <c r="AN12" s="62">
        <f ca="1">AVERAGE(OFFSET($AM$3,0,0,'Données projet'!$E$10+1,1))-AVERAGE(OFFSET($H$3,0,0,'Données projet'!$E$10+1,1))</f>
        <v>295.83974441964551</v>
      </c>
      <c r="AO12" s="62">
        <f t="shared" si="36"/>
        <v>212.24900914818096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2.1228070175438596</v>
      </c>
      <c r="BD12" s="13">
        <f>IF('Données projet'!$A$88&gt;35,BD11+BC12-BL11,IF(A12&lt;'Données projet'!$A$88,$BA$205^A12,IF(A12='Données projet'!$A$88,'Données projet'!$B$88,BD11+BC12-BL11)))</f>
        <v>19.105263157894736</v>
      </c>
      <c r="BE12" s="14">
        <f>BD12*VLOOKUP('Données projet'!$B$11,Paramètres!$A$1:$I$89,3,0)*VLOOKUP('Données projet'!$B$11,Paramètres!$A$1:$I$89,5,0)</f>
        <v>9.1896315789473686</v>
      </c>
      <c r="BF12" s="14">
        <f t="shared" si="37"/>
        <v>3.2713142573354692</v>
      </c>
      <c r="BG12" s="22">
        <f t="shared" si="7"/>
        <v>21.702813998192607</v>
      </c>
      <c r="BH12" s="62">
        <f t="shared" si="8"/>
        <v>289.36948066485928</v>
      </c>
      <c r="BI12" s="62">
        <f ca="1">AVERAGE(OFFSET($BH$3,0,0,'Données projet'!$E$11+1,1))-AVERAGE(OFFSET($H$3,0,0,'Données projet'!$E$11+1,1))</f>
        <v>206.96327004330573</v>
      </c>
      <c r="BJ12" s="62">
        <f t="shared" si="38"/>
        <v>106.52590664430284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7.0434782608695654</v>
      </c>
      <c r="N13" s="14">
        <f>IF('Données projet'!$A$36&gt;35,N12+M13-V12,IF(A13&lt;'Données projet'!$A$36,$K$205^A13,IF(A13='Données projet'!$A$36,'Données projet'!$B$36,N12+M13-V12)))</f>
        <v>9.1339515155776247</v>
      </c>
      <c r="O13" s="14">
        <f>N13*VLOOKUP('Données projet'!$B$9,Paramètres!$A$1:$I$89,3,0)*VLOOKUP('Données projet'!$B$9,Paramètres!$A$1:$I$89,5,0)</f>
        <v>5.1058788972078926</v>
      </c>
      <c r="P13" s="14">
        <f t="shared" si="33"/>
        <v>1.9462703537885475</v>
      </c>
      <c r="Q13" s="22">
        <f t="shared" si="2"/>
        <v>12.282493278818798</v>
      </c>
      <c r="R13" s="62">
        <f t="shared" si="0"/>
        <v>281.17138216770763</v>
      </c>
      <c r="S13" s="62">
        <f ca="1">AVERAGE(OFFSET($R$3,0,0,'Données projet'!$E$9+1,1))-AVERAGE(OFFSET($H$3,0,0,'Données projet'!$E$9+1,1))</f>
        <v>365.70510182727895</v>
      </c>
      <c r="T13" s="62">
        <f t="shared" si="34"/>
        <v>436.23833844962525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4.3703703703703702</v>
      </c>
      <c r="AI13" s="14">
        <f>IF('Données projet'!$A$62&gt;35,AI12+AH13-AQ12,IF(A13&lt;'Données projet'!$A$62,$AF$205^A13,IF(A13='Données projet'!$A$62,'Données projet'!$B$62,AI12+AH13-AQ12)))</f>
        <v>5.8528003047504482</v>
      </c>
      <c r="AJ13" s="14">
        <f>AI13*VLOOKUP('Données projet'!$B$10,Paramètres!$A$1:$I$89,3,0)*VLOOKUP('Données projet'!$B$10,Paramètres!$A$1:$I$89,5,0)</f>
        <v>3.499974582240768</v>
      </c>
      <c r="AK13" s="14">
        <f t="shared" si="35"/>
        <v>1.3940803381250744</v>
      </c>
      <c r="AL13" s="22">
        <f t="shared" si="4"/>
        <v>8.5238123196371749</v>
      </c>
      <c r="AM13" s="62">
        <f t="shared" si="5"/>
        <v>277.41270120852602</v>
      </c>
      <c r="AN13" s="62">
        <f ca="1">AVERAGE(OFFSET($AM$3,0,0,'Données projet'!$E$10+1,1))-AVERAGE(OFFSET($H$3,0,0,'Données projet'!$E$10+1,1))</f>
        <v>295.83974441964551</v>
      </c>
      <c r="AO13" s="62">
        <f t="shared" si="36"/>
        <v>212.24900914818096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2.1228070175438596</v>
      </c>
      <c r="BD13" s="13">
        <f>IF('Données projet'!$A$88&gt;35,BD12+BC13-BL12,IF(A13&lt;'Données projet'!$A$88,$BA$205^A13,IF(A13='Données projet'!$A$88,'Données projet'!$B$88,BD12+BC13-BL12)))</f>
        <v>21.228070175438596</v>
      </c>
      <c r="BE13" s="14">
        <f>BD13*VLOOKUP('Données projet'!$B$11,Paramètres!$A$1:$I$89,3,0)*VLOOKUP('Données projet'!$B$11,Paramètres!$A$1:$I$89,5,0)</f>
        <v>10.210701754385966</v>
      </c>
      <c r="BF13" s="14">
        <f t="shared" si="37"/>
        <v>3.5904888722994652</v>
      </c>
      <c r="BG13" s="22">
        <f t="shared" si="7"/>
        <v>24.037073674810458</v>
      </c>
      <c r="BH13" s="62">
        <f t="shared" si="8"/>
        <v>292.92596256369933</v>
      </c>
      <c r="BI13" s="62">
        <f ca="1">AVERAGE(OFFSET($BH$3,0,0,'Données projet'!$E$11+1,1))-AVERAGE(OFFSET($H$3,0,0,'Données projet'!$E$11+1,1))</f>
        <v>206.96327004330573</v>
      </c>
      <c r="BJ13" s="62">
        <f t="shared" si="38"/>
        <v>106.52590664430284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7.0434782608695654</v>
      </c>
      <c r="N14" s="14">
        <f>IF('Données projet'!$A$36&gt;35,N13+M14-V13,IF(A14&lt;'Données projet'!$A$36,$K$205^A14,IF(A14='Données projet'!$A$36,'Données projet'!$B$36,N13+M14-V13)))</f>
        <v>11.395268749542637</v>
      </c>
      <c r="O14" s="14">
        <f>N14*VLOOKUP('Données projet'!$B$9,Paramètres!$A$1:$I$89,3,0)*VLOOKUP('Données projet'!$B$9,Paramètres!$A$1:$I$89,5,0)</f>
        <v>6.3699552309943348</v>
      </c>
      <c r="P14" s="14">
        <f t="shared" si="33"/>
        <v>2.3663935357089882</v>
      </c>
      <c r="Q14" s="22">
        <f t="shared" si="2"/>
        <v>15.215807435341619</v>
      </c>
      <c r="R14" s="62">
        <f t="shared" si="0"/>
        <v>285.32691854645276</v>
      </c>
      <c r="S14" s="62">
        <f ca="1">AVERAGE(OFFSET($R$3,0,0,'Données projet'!$E$9+1,1))-AVERAGE(OFFSET($H$3,0,0,'Données projet'!$E$9+1,1))</f>
        <v>365.70510182727895</v>
      </c>
      <c r="T14" s="62">
        <f t="shared" si="34"/>
        <v>436.23833844962525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4.3703703703703702</v>
      </c>
      <c r="AI14" s="14">
        <f>IF('Données projet'!$A$62&gt;35,AI13+AH14-AQ13,IF(A14&lt;'Données projet'!$A$62,$AF$205^A14,IF(A14='Données projet'!$A$62,'Données projet'!$B$62,AI13+AH14-AQ13)))</f>
        <v>6.9839332044678839</v>
      </c>
      <c r="AJ14" s="14">
        <f>AI14*VLOOKUP('Données projet'!$B$10,Paramètres!$A$1:$I$89,3,0)*VLOOKUP('Données projet'!$B$10,Paramètres!$A$1:$I$89,5,0)</f>
        <v>4.1763920562717951</v>
      </c>
      <c r="AK14" s="14">
        <f t="shared" si="35"/>
        <v>1.629641437588379</v>
      </c>
      <c r="AL14" s="22">
        <f t="shared" si="4"/>
        <v>10.112175001806468</v>
      </c>
      <c r="AM14" s="62">
        <f t="shared" si="5"/>
        <v>280.22328611291761</v>
      </c>
      <c r="AN14" s="62">
        <f ca="1">AVERAGE(OFFSET($AM$3,0,0,'Données projet'!$E$10+1,1))-AVERAGE(OFFSET($H$3,0,0,'Données projet'!$E$10+1,1))</f>
        <v>295.83974441964551</v>
      </c>
      <c r="AO14" s="62">
        <f t="shared" si="36"/>
        <v>212.24900914818096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2.1228070175438596</v>
      </c>
      <c r="BD14" s="13">
        <f>IF('Données projet'!$A$88&gt;35,BD13+BC14-BL13,IF(A14&lt;'Données projet'!$A$88,$BA$205^A14,IF(A14='Données projet'!$A$88,'Données projet'!$B$88,BD13+BC14-BL13)))</f>
        <v>23.350877192982455</v>
      </c>
      <c r="BE14" s="14">
        <f>BD14*VLOOKUP('Données projet'!$B$11,Paramètres!$A$1:$I$89,3,0)*VLOOKUP('Données projet'!$B$11,Paramètres!$A$1:$I$89,5,0)</f>
        <v>11.231771929824561</v>
      </c>
      <c r="BF14" s="14">
        <f t="shared" si="37"/>
        <v>3.9059633297756711</v>
      </c>
      <c r="BG14" s="22">
        <f t="shared" si="7"/>
        <v>26.364888910470402</v>
      </c>
      <c r="BH14" s="62">
        <f t="shared" si="8"/>
        <v>296.47600002158157</v>
      </c>
      <c r="BI14" s="62">
        <f ca="1">AVERAGE(OFFSET($BH$3,0,0,'Données projet'!$E$11+1,1))-AVERAGE(OFFSET($H$3,0,0,'Données projet'!$E$11+1,1))</f>
        <v>206.96327004330573</v>
      </c>
      <c r="BJ14" s="62">
        <f t="shared" si="38"/>
        <v>106.52590664430284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7.0434782608695654</v>
      </c>
      <c r="N15" s="14">
        <f>IF('Données projet'!$A$36&gt;35,N14+M15-V14,IF(A15&lt;'Données projet'!$A$36,$K$205^A15,IF(A15='Données projet'!$A$36,'Données projet'!$B$36,N14+M15-V14)))</f>
        <v>14.216426445098254</v>
      </c>
      <c r="O15" s="14">
        <f>N15*VLOOKUP('Données projet'!$B$9,Paramètres!$A$1:$I$89,3,0)*VLOOKUP('Données projet'!$B$9,Paramètres!$A$1:$I$89,5,0)</f>
        <v>7.9469823828099235</v>
      </c>
      <c r="P15" s="14">
        <f t="shared" si="33"/>
        <v>2.8772047803866805</v>
      </c>
      <c r="Q15" s="22">
        <f t="shared" si="2"/>
        <v>18.852125975900751</v>
      </c>
      <c r="R15" s="62">
        <f t="shared" si="0"/>
        <v>290.18545930923409</v>
      </c>
      <c r="S15" s="62">
        <f ca="1">AVERAGE(OFFSET($R$3,0,0,'Données projet'!$E$9+1,1))-AVERAGE(OFFSET($H$3,0,0,'Données projet'!$E$9+1,1))</f>
        <v>365.70510182727895</v>
      </c>
      <c r="T15" s="62">
        <f t="shared" si="34"/>
        <v>436.23833844962525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4.3703703703703702</v>
      </c>
      <c r="AI15" s="14">
        <f>IF('Données projet'!$A$62&gt;35,AI14+AH15-AQ14,IF(A15&lt;'Données projet'!$A$62,$AF$205^A15,IF(A15='Données projet'!$A$62,'Données projet'!$B$62,AI14+AH15-AQ14)))</f>
        <v>8.3336728514178713</v>
      </c>
      <c r="AJ15" s="14">
        <f>AI15*VLOOKUP('Données projet'!$B$10,Paramètres!$A$1:$I$89,3,0)*VLOOKUP('Données projet'!$B$10,Paramètres!$A$1:$I$89,5,0)</f>
        <v>4.983536365147887</v>
      </c>
      <c r="AK15" s="14">
        <f t="shared" si="35"/>
        <v>1.9050058611951031</v>
      </c>
      <c r="AL15" s="22">
        <f t="shared" si="4"/>
        <v>11.997544377547372</v>
      </c>
      <c r="AM15" s="62">
        <f t="shared" si="5"/>
        <v>283.33087771088071</v>
      </c>
      <c r="AN15" s="62">
        <f ca="1">AVERAGE(OFFSET($AM$3,0,0,'Données projet'!$E$10+1,1))-AVERAGE(OFFSET($H$3,0,0,'Données projet'!$E$10+1,1))</f>
        <v>295.83974441964551</v>
      </c>
      <c r="AO15" s="62">
        <f t="shared" si="36"/>
        <v>212.24900914818096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2.1228070175438596</v>
      </c>
      <c r="BD15" s="13">
        <f>IF('Données projet'!$A$88&gt;35,BD14+BC15-BL14,IF(A15&lt;'Données projet'!$A$88,$BA$205^A15,IF(A15='Données projet'!$A$88,'Données projet'!$B$88,BD14+BC15-BL14)))</f>
        <v>25.473684210526315</v>
      </c>
      <c r="BE15" s="14">
        <f>BD15*VLOOKUP('Données projet'!$B$11,Paramètres!$A$1:$I$89,3,0)*VLOOKUP('Données projet'!$B$11,Paramètres!$A$1:$I$89,5,0)</f>
        <v>12.252842105263158</v>
      </c>
      <c r="BF15" s="14">
        <f t="shared" si="37"/>
        <v>4.2181122630729551</v>
      </c>
      <c r="BG15" s="22">
        <f t="shared" si="7"/>
        <v>28.686912191518729</v>
      </c>
      <c r="BH15" s="62">
        <f t="shared" si="8"/>
        <v>300.02024552485204</v>
      </c>
      <c r="BI15" s="62">
        <f ca="1">AVERAGE(OFFSET($BH$3,0,0,'Données projet'!$E$11+1,1))-AVERAGE(OFFSET($H$3,0,0,'Données projet'!$E$11+1,1))</f>
        <v>206.96327004330573</v>
      </c>
      <c r="BJ15" s="62">
        <f t="shared" si="38"/>
        <v>106.52590664430284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7.0434782608695654</v>
      </c>
      <c r="N16" s="14">
        <f>IF('Données projet'!$A$36&gt;35,N15+M16-V15,IF(A16&lt;'Données projet'!$A$36,$K$205^A16,IF(A16='Données projet'!$A$36,'Données projet'!$B$36,N15+M16-V15)))</f>
        <v>17.736025828877512</v>
      </c>
      <c r="O16" s="14">
        <f>N16*VLOOKUP('Données projet'!$B$9,Paramètres!$A$1:$I$89,3,0)*VLOOKUP('Données projet'!$B$9,Paramètres!$A$1:$I$89,5,0)</f>
        <v>9.914438438342529</v>
      </c>
      <c r="P16" s="14">
        <f t="shared" si="33"/>
        <v>3.4982800719153118</v>
      </c>
      <c r="Q16" s="22">
        <f t="shared" si="2"/>
        <v>23.360484738699075</v>
      </c>
      <c r="R16" s="62">
        <f t="shared" si="0"/>
        <v>295.91604029425463</v>
      </c>
      <c r="S16" s="62">
        <f ca="1">AVERAGE(OFFSET($R$3,0,0,'Données projet'!$E$9+1,1))-AVERAGE(OFFSET($H$3,0,0,'Données projet'!$E$9+1,1))</f>
        <v>365.70510182727895</v>
      </c>
      <c r="T16" s="62">
        <f t="shared" si="34"/>
        <v>436.23833844962525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4.3703703703703702</v>
      </c>
      <c r="AI16" s="14">
        <f>IF('Données projet'!$A$62&gt;35,AI15+AH16-AQ15,IF(A16&lt;'Données projet'!$A$62,$AF$205^A16,IF(A16='Données projet'!$A$62,'Données projet'!$B$62,AI15+AH16-AQ15)))</f>
        <v>9.944267959210924</v>
      </c>
      <c r="AJ16" s="14">
        <f>AI16*VLOOKUP('Données projet'!$B$10,Paramètres!$A$1:$I$89,3,0)*VLOOKUP('Données projet'!$B$10,Paramètres!$A$1:$I$89,5,0)</f>
        <v>5.9466722396081328</v>
      </c>
      <c r="AK16" s="14">
        <f t="shared" si="35"/>
        <v>2.2268992721234029</v>
      </c>
      <c r="AL16" s="22">
        <f t="shared" si="4"/>
        <v>14.235637049599092</v>
      </c>
      <c r="AM16" s="62">
        <f t="shared" si="5"/>
        <v>286.79119260515461</v>
      </c>
      <c r="AN16" s="62">
        <f ca="1">AVERAGE(OFFSET($AM$3,0,0,'Données projet'!$E$10+1,1))-AVERAGE(OFFSET($H$3,0,0,'Données projet'!$E$10+1,1))</f>
        <v>295.83974441964551</v>
      </c>
      <c r="AO16" s="62">
        <f t="shared" si="36"/>
        <v>212.24900914818096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2.1228070175438596</v>
      </c>
      <c r="BD16" s="13">
        <f>IF('Données projet'!$A$88&gt;35,BD15+BC16-BL15,IF(A16&lt;'Données projet'!$A$88,$BA$205^A16,IF(A16='Données projet'!$A$88,'Données projet'!$B$88,BD15+BC16-BL15)))</f>
        <v>27.596491228070175</v>
      </c>
      <c r="BE16" s="14">
        <f>BD16*VLOOKUP('Données projet'!$B$11,Paramètres!$A$1:$I$89,3,0)*VLOOKUP('Données projet'!$B$11,Paramètres!$A$1:$I$89,5,0)</f>
        <v>13.273912280701753</v>
      </c>
      <c r="BF16" s="14">
        <f t="shared" si="37"/>
        <v>4.5272443060867129</v>
      </c>
      <c r="BG16" s="22">
        <f t="shared" si="7"/>
        <v>31.003681055323245</v>
      </c>
      <c r="BH16" s="62">
        <f t="shared" si="8"/>
        <v>303.55923661087877</v>
      </c>
      <c r="BI16" s="62">
        <f ca="1">AVERAGE(OFFSET($BH$3,0,0,'Données projet'!$E$11+1,1))-AVERAGE(OFFSET($H$3,0,0,'Données projet'!$E$11+1,1))</f>
        <v>206.96327004330573</v>
      </c>
      <c r="BJ16" s="62">
        <f t="shared" si="38"/>
        <v>106.52590664430284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7.0434782608695654</v>
      </c>
      <c r="N17" s="14">
        <f>IF('Données projet'!$A$36&gt;35,N16+M17-V16,IF(A17&lt;'Données projet'!$A$36,$K$205^A17,IF(A17='Données projet'!$A$36,'Données projet'!$B$36,N16+M17-V16)))</f>
        <v>22.126982010382157</v>
      </c>
      <c r="O17" s="14">
        <f>N17*VLOOKUP('Données projet'!$B$9,Paramètres!$A$1:$I$89,3,0)*VLOOKUP('Données projet'!$B$9,Paramètres!$A$1:$I$89,5,0)</f>
        <v>12.368982943803626</v>
      </c>
      <c r="P17" s="14">
        <f t="shared" si="33"/>
        <v>4.253421079022079</v>
      </c>
      <c r="Q17" s="22">
        <f t="shared" si="2"/>
        <v>28.950687006421436</v>
      </c>
      <c r="R17" s="62">
        <f t="shared" si="0"/>
        <v>302.72846478419922</v>
      </c>
      <c r="S17" s="62">
        <f ca="1">AVERAGE(OFFSET($R$3,0,0,'Données projet'!$E$9+1,1))-AVERAGE(OFFSET($H$3,0,0,'Données projet'!$E$9+1,1))</f>
        <v>365.70510182727895</v>
      </c>
      <c r="T17" s="62">
        <f t="shared" si="34"/>
        <v>436.23833844962525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4.3703703703703702</v>
      </c>
      <c r="AI17" s="14">
        <f>IF('Données projet'!$A$62&gt;35,AI16+AH17-AQ16,IF(A17&lt;'Données projet'!$A$62,$AF$205^A17,IF(A17='Données projet'!$A$62,'Données projet'!$B$62,AI16+AH17-AQ16)))</f>
        <v>11.866132377366407</v>
      </c>
      <c r="AJ17" s="14">
        <f>AI17*VLOOKUP('Données projet'!$B$10,Paramètres!$A$1:$I$89,3,0)*VLOOKUP('Données projet'!$B$10,Paramètres!$A$1:$I$89,5,0)</f>
        <v>7.0959471616651122</v>
      </c>
      <c r="AK17" s="14">
        <f t="shared" si="35"/>
        <v>2.6031837849951125</v>
      </c>
      <c r="AL17" s="22">
        <f t="shared" si="4"/>
        <v>16.892653065433223</v>
      </c>
      <c r="AM17" s="62">
        <f t="shared" si="5"/>
        <v>290.67043084321097</v>
      </c>
      <c r="AN17" s="62">
        <f ca="1">AVERAGE(OFFSET($AM$3,0,0,'Données projet'!$E$10+1,1))-AVERAGE(OFFSET($H$3,0,0,'Données projet'!$E$10+1,1))</f>
        <v>295.83974441964551</v>
      </c>
      <c r="AO17" s="62">
        <f t="shared" si="36"/>
        <v>212.24900914818096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2.1228070175438596</v>
      </c>
      <c r="BD17" s="13">
        <f>IF('Données projet'!$A$88&gt;35,BD16+BC17-BL16,IF(A17&lt;'Données projet'!$A$88,$BA$205^A17,IF(A17='Données projet'!$A$88,'Données projet'!$B$88,BD16+BC17-BL16)))</f>
        <v>29.719298245614034</v>
      </c>
      <c r="BE17" s="14">
        <f>BD17*VLOOKUP('Données projet'!$B$11,Paramètres!$A$1:$I$89,3,0)*VLOOKUP('Données projet'!$B$11,Paramètres!$A$1:$I$89,5,0)</f>
        <v>14.294982456140351</v>
      </c>
      <c r="BF17" s="14">
        <f t="shared" si="37"/>
        <v>4.8336179132836357</v>
      </c>
      <c r="BG17" s="22">
        <f t="shared" si="7"/>
        <v>33.31564564341344</v>
      </c>
      <c r="BH17" s="62">
        <f t="shared" si="8"/>
        <v>307.09342342119123</v>
      </c>
      <c r="BI17" s="62">
        <f ca="1">AVERAGE(OFFSET($BH$3,0,0,'Données projet'!$E$11+1,1))-AVERAGE(OFFSET($H$3,0,0,'Données projet'!$E$11+1,1))</f>
        <v>206.96327004330573</v>
      </c>
      <c r="BJ17" s="62">
        <f t="shared" si="38"/>
        <v>106.52590664430284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7.0434782608695654</v>
      </c>
      <c r="N18" s="14">
        <f>IF('Données projet'!$A$36&gt;35,N17+M18-V17,IF(A18&lt;'Données projet'!$A$36,$K$205^A18,IF(A18='Données projet'!$A$36,'Données projet'!$B$36,N17+M18-V17)))</f>
        <v>27.605019163346693</v>
      </c>
      <c r="O18" s="14">
        <f>N18*VLOOKUP('Données projet'!$B$9,Paramètres!$A$1:$I$89,3,0)*VLOOKUP('Données projet'!$B$9,Paramètres!$A$1:$I$89,5,0)</f>
        <v>15.431205712310803</v>
      </c>
      <c r="P18" s="14">
        <f t="shared" si="33"/>
        <v>5.1715673140956353</v>
      </c>
      <c r="Q18" s="22">
        <f t="shared" si="2"/>
        <v>35.883163020991212</v>
      </c>
      <c r="R18" s="62">
        <f t="shared" si="0"/>
        <v>310.88316302099122</v>
      </c>
      <c r="S18" s="62">
        <f ca="1">AVERAGE(OFFSET($R$3,0,0,'Données projet'!$E$9+1,1))-AVERAGE(OFFSET($H$3,0,0,'Données projet'!$E$9+1,1))</f>
        <v>365.70510182727895</v>
      </c>
      <c r="T18" s="62">
        <f t="shared" si="34"/>
        <v>436.23833844962525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4.3703703703703702</v>
      </c>
      <c r="AI18" s="14">
        <f>IF('Données projet'!$A$62&gt;35,AI17+AH18-AQ17,IF(A18&lt;'Données projet'!$A$62,$AF$205^A18,IF(A18='Données projet'!$A$62,'Données projet'!$B$62,AI17+AH18-AQ17)))</f>
        <v>14.159423114374338</v>
      </c>
      <c r="AJ18" s="14">
        <f>AI18*VLOOKUP('Données projet'!$B$10,Paramètres!$A$1:$I$89,3,0)*VLOOKUP('Données projet'!$B$10,Paramètres!$A$1:$I$89,5,0)</f>
        <v>8.4673350223958543</v>
      </c>
      <c r="AK18" s="14">
        <f t="shared" si="35"/>
        <v>3.0430499948027987</v>
      </c>
      <c r="AL18" s="22">
        <f t="shared" si="4"/>
        <v>20.047253904954317</v>
      </c>
      <c r="AM18" s="62">
        <f t="shared" si="5"/>
        <v>295.04725390495435</v>
      </c>
      <c r="AN18" s="62">
        <f ca="1">AVERAGE(OFFSET($AM$3,0,0,'Données projet'!$E$10+1,1))-AVERAGE(OFFSET($H$3,0,0,'Données projet'!$E$10+1,1))</f>
        <v>295.83974441964551</v>
      </c>
      <c r="AO18" s="62">
        <f t="shared" si="36"/>
        <v>212.24900914818096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2.1228070175438596</v>
      </c>
      <c r="BD18" s="13">
        <f>IF('Données projet'!$A$88&gt;35,BD17+BC18-BL17,IF(A18&lt;'Données projet'!$A$88,$BA$205^A18,IF(A18='Données projet'!$A$88,'Données projet'!$B$88,BD17+BC18-BL17)))</f>
        <v>31.842105263157894</v>
      </c>
      <c r="BE18" s="14">
        <f>BD18*VLOOKUP('Données projet'!$B$11,Paramètres!$A$1:$I$89,3,0)*VLOOKUP('Données projet'!$B$11,Paramètres!$A$1:$I$89,5,0)</f>
        <v>15.316052631578946</v>
      </c>
      <c r="BF18" s="14">
        <f t="shared" si="37"/>
        <v>5.1374525248853091</v>
      </c>
      <c r="BG18" s="22">
        <f t="shared" si="7"/>
        <v>35.623188147508579</v>
      </c>
      <c r="BH18" s="62">
        <f t="shared" si="8"/>
        <v>310.62318814750859</v>
      </c>
      <c r="BI18" s="62">
        <f ca="1">AVERAGE(OFFSET($BH$3,0,0,'Données projet'!$E$11+1,1))-AVERAGE(OFFSET($H$3,0,0,'Données projet'!$E$11+1,1))</f>
        <v>206.96327004330573</v>
      </c>
      <c r="BJ18" s="62">
        <f t="shared" si="38"/>
        <v>106.52590664430284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7.0434782608695654</v>
      </c>
      <c r="N19" s="14">
        <f>IF('Données projet'!$A$36&gt;35,N18+M19-V18,IF(A19&lt;'Données projet'!$A$36,$K$205^A19,IF(A19='Données projet'!$A$36,'Données projet'!$B$36,N18+M19-V18)))</f>
        <v>34.439268882271627</v>
      </c>
      <c r="O19" s="14">
        <f>N19*VLOOKUP('Données projet'!$B$9,Paramètres!$A$1:$I$89,3,0)*VLOOKUP('Données projet'!$B$9,Paramètres!$A$1:$I$89,5,0)</f>
        <v>19.251551305189839</v>
      </c>
      <c r="P19" s="14">
        <f t="shared" si="33"/>
        <v>6.2879051914538895</v>
      </c>
      <c r="Q19" s="22">
        <f t="shared" si="2"/>
        <v>44.481220064987831</v>
      </c>
      <c r="R19" s="62">
        <f t="shared" si="0"/>
        <v>320.70344228721007</v>
      </c>
      <c r="S19" s="62">
        <f ca="1">AVERAGE(OFFSET($R$3,0,0,'Données projet'!$E$9+1,1))-AVERAGE(OFFSET($H$3,0,0,'Données projet'!$E$9+1,1))</f>
        <v>365.70510182727895</v>
      </c>
      <c r="T19" s="62">
        <f t="shared" si="34"/>
        <v>436.23833844962525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4.3703703703703702</v>
      </c>
      <c r="AI19" s="14">
        <f>IF('Données projet'!$A$62&gt;35,AI18+AH19-AQ18,IF(A19&lt;'Données projet'!$A$62,$AF$205^A19,IF(A19='Données projet'!$A$62,'Données projet'!$B$62,AI18+AH19-AQ18)))</f>
        <v>16.895923335078734</v>
      </c>
      <c r="AJ19" s="14">
        <f>AI19*VLOOKUP('Données projet'!$B$10,Paramètres!$A$1:$I$89,3,0)*VLOOKUP('Données projet'!$B$10,Paramètres!$A$1:$I$89,5,0)</f>
        <v>10.103762154377083</v>
      </c>
      <c r="AK19" s="14">
        <f t="shared" si="35"/>
        <v>3.5572414534253478</v>
      </c>
      <c r="AL19" s="22">
        <f t="shared" si="4"/>
        <v>23.79291461692257</v>
      </c>
      <c r="AM19" s="62">
        <f t="shared" si="5"/>
        <v>300.01513683914482</v>
      </c>
      <c r="AN19" s="62">
        <f ca="1">AVERAGE(OFFSET($AM$3,0,0,'Données projet'!$E$10+1,1))-AVERAGE(OFFSET($H$3,0,0,'Données projet'!$E$10+1,1))</f>
        <v>295.83974441964551</v>
      </c>
      <c r="AO19" s="62">
        <f t="shared" si="36"/>
        <v>212.24900914818096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2.1228070175438596</v>
      </c>
      <c r="BD19" s="13">
        <f>IF('Données projet'!$A$88&gt;35,BD18+BC19-BL18,IF(A19&lt;'Données projet'!$A$88,$BA$205^A19,IF(A19='Données projet'!$A$88,'Données projet'!$B$88,BD18+BC19-BL18)))</f>
        <v>33.964912280701753</v>
      </c>
      <c r="BE19" s="14">
        <f>BD19*VLOOKUP('Données projet'!$B$11,Paramètres!$A$1:$I$89,3,0)*VLOOKUP('Données projet'!$B$11,Paramètres!$A$1:$I$89,5,0)</f>
        <v>16.337122807017543</v>
      </c>
      <c r="BF19" s="14">
        <f t="shared" si="37"/>
        <v>5.4389366671175958</v>
      </c>
      <c r="BG19" s="22">
        <f t="shared" si="7"/>
        <v>37.926636917452029</v>
      </c>
      <c r="BH19" s="62">
        <f t="shared" si="8"/>
        <v>314.14885913967424</v>
      </c>
      <c r="BI19" s="62">
        <f ca="1">AVERAGE(OFFSET($BH$3,0,0,'Données projet'!$E$11+1,1))-AVERAGE(OFFSET($H$3,0,0,'Données projet'!$E$11+1,1))</f>
        <v>206.96327004330573</v>
      </c>
      <c r="BJ19" s="62">
        <f t="shared" si="38"/>
        <v>106.52590664430284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7.0434782608695654</v>
      </c>
      <c r="N20" s="14">
        <f>IF('Données projet'!$A$36&gt;35,N19+M20-V19,IF(A20&lt;'Données projet'!$A$36,$K$205^A20,IF(A20='Données projet'!$A$36,'Données projet'!$B$36,N19+M20-V19)))</f>
        <v>42.965492402926131</v>
      </c>
      <c r="O20" s="14">
        <f>N20*VLOOKUP('Données projet'!$B$9,Paramètres!$A$1:$I$89,3,0)*VLOOKUP('Données projet'!$B$9,Paramètres!$A$1:$I$89,5,0)</f>
        <v>24.017710253235709</v>
      </c>
      <c r="P20" s="14">
        <f t="shared" si="33"/>
        <v>7.6452164876494173</v>
      </c>
      <c r="Q20" s="22">
        <f t="shared" si="2"/>
        <v>55.146264073708259</v>
      </c>
      <c r="R20" s="62">
        <f t="shared" si="0"/>
        <v>332.59070851815272</v>
      </c>
      <c r="S20" s="62">
        <f ca="1">AVERAGE(OFFSET($R$3,0,0,'Données projet'!$E$9+1,1))-AVERAGE(OFFSET($H$3,0,0,'Données projet'!$E$9+1,1))</f>
        <v>365.70510182727895</v>
      </c>
      <c r="T20" s="62">
        <f t="shared" si="34"/>
        <v>436.23833844962525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4.3703703703703702</v>
      </c>
      <c r="AI20" s="14">
        <f>IF('Données projet'!$A$62&gt;35,AI19+AH20-AQ19,IF(A20&lt;'Données projet'!$A$62,$AF$205^A20,IF(A20='Données projet'!$A$62,'Données projet'!$B$62,AI19+AH20-AQ19)))</f>
        <v>20.161289272799031</v>
      </c>
      <c r="AJ20" s="14">
        <f>AI20*VLOOKUP('Données projet'!$B$10,Paramètres!$A$1:$I$89,3,0)*VLOOKUP('Données projet'!$B$10,Paramètres!$A$1:$I$89,5,0)</f>
        <v>12.056450985133822</v>
      </c>
      <c r="AK20" s="14">
        <f t="shared" si="35"/>
        <v>4.1583170764789594</v>
      </c>
      <c r="AL20" s="22">
        <f t="shared" si="4"/>
        <v>28.240721040642256</v>
      </c>
      <c r="AM20" s="62">
        <f t="shared" si="5"/>
        <v>305.68516548508671</v>
      </c>
      <c r="AN20" s="62">
        <f ca="1">AVERAGE(OFFSET($AM$3,0,0,'Données projet'!$E$10+1,1))-AVERAGE(OFFSET($H$3,0,0,'Données projet'!$E$10+1,1))</f>
        <v>295.83974441964551</v>
      </c>
      <c r="AO20" s="62">
        <f t="shared" si="36"/>
        <v>212.24900914818096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2.1228070175438596</v>
      </c>
      <c r="BD20" s="13">
        <f>IF('Données projet'!$A$88&gt;35,BD19+BC20-BL19,IF(A20&lt;'Données projet'!$A$88,$BA$205^A20,IF(A20='Données projet'!$A$88,'Données projet'!$B$88,BD19+BC20-BL19)))</f>
        <v>36.087719298245617</v>
      </c>
      <c r="BE20" s="14">
        <f>BD20*VLOOKUP('Données projet'!$B$11,Paramètres!$A$1:$I$89,3,0)*VLOOKUP('Données projet'!$B$11,Paramètres!$A$1:$I$89,5,0)</f>
        <v>17.358192982456142</v>
      </c>
      <c r="BF20" s="14">
        <f t="shared" si="37"/>
        <v>5.7382339684860302</v>
      </c>
      <c r="BG20" s="22">
        <f t="shared" si="7"/>
        <v>40.226276939557614</v>
      </c>
      <c r="BH20" s="62">
        <f t="shared" si="8"/>
        <v>317.67072138400209</v>
      </c>
      <c r="BI20" s="62">
        <f ca="1">AVERAGE(OFFSET($BH$3,0,0,'Données projet'!$E$11+1,1))-AVERAGE(OFFSET($H$3,0,0,'Données projet'!$E$11+1,1))</f>
        <v>206.96327004330573</v>
      </c>
      <c r="BJ20" s="62">
        <f t="shared" si="38"/>
        <v>106.52590664430284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7.0434782608695654</v>
      </c>
      <c r="N21" s="14">
        <f>IF('Données projet'!$A$36&gt;35,N20+M21-V20,IF(A21&lt;'Données projet'!$A$36,$K$205^A21,IF(A21='Données projet'!$A$36,'Données projet'!$B$36,N20+M21-V20)))</f>
        <v>53.602576283963728</v>
      </c>
      <c r="O21" s="14">
        <f>N21*VLOOKUP('Données projet'!$B$9,Paramètres!$A$1:$I$89,3,0)*VLOOKUP('Données projet'!$B$9,Paramètres!$A$1:$I$89,5,0)</f>
        <v>29.963840142735723</v>
      </c>
      <c r="P21" s="14">
        <f t="shared" si="33"/>
        <v>9.2955178812916941</v>
      </c>
      <c r="Q21" s="22">
        <f t="shared" si="2"/>
        <v>68.376715225181087</v>
      </c>
      <c r="R21" s="62">
        <f t="shared" si="0"/>
        <v>347.04338189184779</v>
      </c>
      <c r="S21" s="62">
        <f ca="1">AVERAGE(OFFSET($R$3,0,0,'Données projet'!$E$9+1,1))-AVERAGE(OFFSET($H$3,0,0,'Données projet'!$E$9+1,1))</f>
        <v>365.70510182727895</v>
      </c>
      <c r="T21" s="62">
        <f t="shared" si="34"/>
        <v>436.23833844962525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4.3703703703703702</v>
      </c>
      <c r="AI21" s="14">
        <f>IF('Données projet'!$A$62&gt;35,AI20+AH21-AQ20,IF(A21&lt;'Données projet'!$A$62,$AF$205^A21,IF(A21='Données projet'!$A$62,'Données projet'!$B$62,AI20+AH21-AQ20)))</f>
        <v>24.057731387639919</v>
      </c>
      <c r="AJ21" s="14">
        <f>AI21*VLOOKUP('Données projet'!$B$10,Paramètres!$A$1:$I$89,3,0)*VLOOKUP('Données projet'!$B$10,Paramètres!$A$1:$I$89,5,0)</f>
        <v>14.386523369808673</v>
      </c>
      <c r="AK21" s="14">
        <f t="shared" si="35"/>
        <v>4.8609578896833261</v>
      </c>
      <c r="AL21" s="22">
        <f t="shared" si="4"/>
        <v>33.522696526948565</v>
      </c>
      <c r="AM21" s="62">
        <f t="shared" si="5"/>
        <v>312.18936319361524</v>
      </c>
      <c r="AN21" s="62">
        <f ca="1">AVERAGE(OFFSET($AM$3,0,0,'Données projet'!$E$10+1,1))-AVERAGE(OFFSET($H$3,0,0,'Données projet'!$E$10+1,1))</f>
        <v>295.83974441964551</v>
      </c>
      <c r="AO21" s="62">
        <f t="shared" si="36"/>
        <v>212.24900914818096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2.1228070175438596</v>
      </c>
      <c r="BD21" s="13">
        <f>IF('Données projet'!$A$88&gt;35,BD20+BC21-BL20,IF(A21&lt;'Données projet'!$A$88,$BA$205^A21,IF(A21='Données projet'!$A$88,'Données projet'!$B$88,BD20+BC21-BL20)))</f>
        <v>38.21052631578948</v>
      </c>
      <c r="BE21" s="14">
        <f>BD21*VLOOKUP('Données projet'!$B$11,Paramètres!$A$1:$I$89,3,0)*VLOOKUP('Données projet'!$B$11,Paramètres!$A$1:$I$89,5,0)</f>
        <v>18.379263157894741</v>
      </c>
      <c r="BF21" s="14">
        <f t="shared" si="37"/>
        <v>6.0354877196139158</v>
      </c>
      <c r="BG21" s="22">
        <f t="shared" si="7"/>
        <v>42.522357778327574</v>
      </c>
      <c r="BH21" s="62">
        <f t="shared" si="8"/>
        <v>321.18902444499429</v>
      </c>
      <c r="BI21" s="62">
        <f ca="1">AVERAGE(OFFSET($BH$3,0,0,'Données projet'!$E$11+1,1))-AVERAGE(OFFSET($H$3,0,0,'Données projet'!$E$11+1,1))</f>
        <v>206.96327004330573</v>
      </c>
      <c r="BJ21" s="62">
        <f t="shared" si="38"/>
        <v>106.52590664430284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7.0434782608695654</v>
      </c>
      <c r="N22" s="14">
        <f>IF('Données projet'!$A$36&gt;35,N21+M22-V21,IF(A22&lt;'Données projet'!$A$36,$K$205^A22,IF(A22='Données projet'!$A$36,'Données projet'!$B$36,N21+M22-V21)))</f>
        <v>66.87311196932707</v>
      </c>
      <c r="O22" s="14">
        <f>N22*VLOOKUP('Données projet'!$B$9,Paramètres!$A$1:$I$89,3,0)*VLOOKUP('Données projet'!$B$9,Paramètres!$A$1:$I$89,5,0)</f>
        <v>37.382069590853831</v>
      </c>
      <c r="P22" s="14">
        <f t="shared" si="33"/>
        <v>11.302054404999595</v>
      </c>
      <c r="Q22" s="22">
        <f t="shared" si="2"/>
        <v>84.791515959444709</v>
      </c>
      <c r="R22" s="62">
        <f t="shared" si="0"/>
        <v>364.68040484833358</v>
      </c>
      <c r="S22" s="62">
        <f ca="1">AVERAGE(OFFSET($R$3,0,0,'Données projet'!$E$9+1,1))-AVERAGE(OFFSET($H$3,0,0,'Données projet'!$E$9+1,1))</f>
        <v>365.70510182727895</v>
      </c>
      <c r="T22" s="62">
        <f t="shared" si="34"/>
        <v>436.23833844962525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4.3703703703703702</v>
      </c>
      <c r="AI22" s="14">
        <f>IF('Données projet'!$A$62&gt;35,AI21+AH22-AQ21,IF(A22&lt;'Données projet'!$A$62,$AF$205^A22,IF(A22='Données projet'!$A$62,'Données projet'!$B$62,AI21+AH22-AQ21)))</f>
        <v>28.707213694944539</v>
      </c>
      <c r="AJ22" s="14">
        <f>AI22*VLOOKUP('Données projet'!$B$10,Paramètres!$A$1:$I$89,3,0)*VLOOKUP('Données projet'!$B$10,Paramètres!$A$1:$I$89,5,0)</f>
        <v>17.166913789576835</v>
      </c>
      <c r="AK22" s="14">
        <f t="shared" si="35"/>
        <v>5.6823256068972627</v>
      </c>
      <c r="AL22" s="22">
        <f t="shared" si="4"/>
        <v>39.79575861552572</v>
      </c>
      <c r="AM22" s="62">
        <f t="shared" si="5"/>
        <v>319.68464750441456</v>
      </c>
      <c r="AN22" s="62">
        <f ca="1">AVERAGE(OFFSET($AM$3,0,0,'Données projet'!$E$10+1,1))-AVERAGE(OFFSET($H$3,0,0,'Données projet'!$E$10+1,1))</f>
        <v>295.83974441964551</v>
      </c>
      <c r="AO22" s="62">
        <f t="shared" si="36"/>
        <v>212.24900914818096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2.1228070175438596</v>
      </c>
      <c r="BD22" s="13">
        <f>IF('Données projet'!$A$88&gt;35,BD21+BC22-BL21,IF(A22&lt;'Données projet'!$A$88,$BA$205^A22,IF(A22='Données projet'!$A$88,'Données projet'!$B$88,BD21+BC22-BL21)))</f>
        <v>40.333333333333343</v>
      </c>
      <c r="BE22" s="14">
        <f>BD22*VLOOKUP('Données projet'!$B$11,Paramètres!$A$1:$I$89,3,0)*VLOOKUP('Données projet'!$B$11,Paramètres!$A$1:$I$89,5,0)</f>
        <v>19.400333333333339</v>
      </c>
      <c r="BF22" s="14">
        <f t="shared" si="37"/>
        <v>6.3308243907326958</v>
      </c>
      <c r="BG22" s="22">
        <f t="shared" si="7"/>
        <v>44.815099702748341</v>
      </c>
      <c r="BH22" s="62">
        <f t="shared" si="8"/>
        <v>324.7039885916372</v>
      </c>
      <c r="BI22" s="62">
        <f ca="1">AVERAGE(OFFSET($BH$3,0,0,'Données projet'!$E$11+1,1))-AVERAGE(OFFSET($H$3,0,0,'Données projet'!$E$11+1,1))</f>
        <v>206.96327004330573</v>
      </c>
      <c r="BJ22" s="62">
        <f t="shared" si="38"/>
        <v>106.52590664430284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7.0434782608695654</v>
      </c>
      <c r="N23" s="14">
        <f>IF('Données projet'!$A$36&gt;35,N22+M23-V22,IF(A23&lt;'Données projet'!$A$36,$K$205^A23,IF(A23='Données projet'!$A$36,'Données projet'!$B$36,N22+M23-V22)))</f>
        <v>83.429070288922773</v>
      </c>
      <c r="O23" s="14">
        <f>N23*VLOOKUP('Données projet'!$B$9,Paramètres!$A$1:$I$89,3,0)*VLOOKUP('Données projet'!$B$9,Paramètres!$A$1:$I$89,5,0)</f>
        <v>46.636850291507827</v>
      </c>
      <c r="P23" s="14">
        <f t="shared" si="33"/>
        <v>13.741723205186346</v>
      </c>
      <c r="Q23" s="22">
        <f t="shared" si="2"/>
        <v>105.15934884007568</v>
      </c>
      <c r="R23" s="62">
        <f t="shared" si="0"/>
        <v>386.27045995118681</v>
      </c>
      <c r="S23" s="62">
        <f ca="1">AVERAGE(OFFSET($R$3,0,0,'Données projet'!$E$9+1,1))-AVERAGE(OFFSET($H$3,0,0,'Données projet'!$E$9+1,1))</f>
        <v>365.70510182727895</v>
      </c>
      <c r="T23" s="62">
        <f t="shared" si="34"/>
        <v>436.23833844962525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4.3703703703703702</v>
      </c>
      <c r="AI23" s="14">
        <f>IF('Données projet'!$A$62&gt;35,AI22+AH23-AQ22,IF(A23&lt;'Données projet'!$A$62,$AF$205^A23,IF(A23='Données projet'!$A$62,'Données projet'!$B$62,AI22+AH23-AQ22)))</f>
        <v>34.255271407286948</v>
      </c>
      <c r="AJ23" s="14">
        <f>AI23*VLOOKUP('Données projet'!$B$10,Paramètres!$A$1:$I$89,3,0)*VLOOKUP('Données projet'!$B$10,Paramètres!$A$1:$I$89,5,0)</f>
        <v>20.484652301557595</v>
      </c>
      <c r="AK23" s="14">
        <f t="shared" si="35"/>
        <v>6.6424817979453561</v>
      </c>
      <c r="AL23" s="22">
        <f t="shared" si="4"/>
        <v>47.246425223300974</v>
      </c>
      <c r="AM23" s="62">
        <f t="shared" si="5"/>
        <v>328.35753633441209</v>
      </c>
      <c r="AN23" s="62">
        <f ca="1">AVERAGE(OFFSET($AM$3,0,0,'Données projet'!$E$10+1,1))-AVERAGE(OFFSET($H$3,0,0,'Données projet'!$E$10+1,1))</f>
        <v>295.83974441964551</v>
      </c>
      <c r="AO23" s="62">
        <f t="shared" si="36"/>
        <v>212.24900914818096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2.1228070175438596</v>
      </c>
      <c r="BD23" s="13">
        <f>IF('Données projet'!$A$88&gt;35,BD22+BC23-BL22,IF(A23&lt;'Données projet'!$A$88,$BA$205^A23,IF(A23='Données projet'!$A$88,'Données projet'!$B$88,BD22+BC23-BL22)))</f>
        <v>42.456140350877206</v>
      </c>
      <c r="BE23" s="14">
        <f>BD23*VLOOKUP('Données projet'!$B$11,Paramètres!$A$1:$I$89,3,0)*VLOOKUP('Données projet'!$B$11,Paramètres!$A$1:$I$89,5,0)</f>
        <v>20.421403508771938</v>
      </c>
      <c r="BF23" s="14">
        <f t="shared" si="37"/>
        <v>6.6243563875225648</v>
      </c>
      <c r="BG23" s="22">
        <f t="shared" si="7"/>
        <v>47.104698486046253</v>
      </c>
      <c r="BH23" s="62">
        <f t="shared" si="8"/>
        <v>328.21580959715737</v>
      </c>
      <c r="BI23" s="62">
        <f ca="1">AVERAGE(OFFSET($BH$3,0,0,'Données projet'!$E$11+1,1))-AVERAGE(OFFSET($H$3,0,0,'Données projet'!$E$11+1,1))</f>
        <v>206.96327004330573</v>
      </c>
      <c r="BJ23" s="62">
        <f t="shared" si="38"/>
        <v>106.52590664430284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7.0434782608695654</v>
      </c>
      <c r="N24" s="14">
        <f>IF('Données projet'!$A$36&gt;35,N23+M24-V23,IF(A24&lt;'Données projet'!$A$36,$K$205^A24,IF(A24='Données projet'!$A$36,'Données projet'!$B$36,N23+M24-V23)))</f>
        <v>104.08383226529931</v>
      </c>
      <c r="O24" s="14">
        <f>N24*VLOOKUP('Données projet'!$B$9,Paramètres!$A$1:$I$89,3,0)*VLOOKUP('Données projet'!$B$9,Paramètres!$A$1:$I$89,5,0)</f>
        <v>58.182862236302313</v>
      </c>
      <c r="P24" s="14">
        <f t="shared" si="33"/>
        <v>16.708020496204991</v>
      </c>
      <c r="Q24" s="22">
        <f t="shared" si="2"/>
        <v>130.43495409245023</v>
      </c>
      <c r="R24" s="62">
        <f t="shared" si="0"/>
        <v>412.76828742578357</v>
      </c>
      <c r="S24" s="62">
        <f ca="1">AVERAGE(OFFSET($R$3,0,0,'Données projet'!$E$9+1,1))-AVERAGE(OFFSET($H$3,0,0,'Données projet'!$E$9+1,1))</f>
        <v>365.70510182727895</v>
      </c>
      <c r="T24" s="62">
        <f t="shared" si="34"/>
        <v>436.23833844962525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4.3703703703703702</v>
      </c>
      <c r="AI24" s="14">
        <f>IF('Données projet'!$A$62&gt;35,AI23+AH24-AQ23,IF(A24&lt;'Données projet'!$A$62,$AF$205^A24,IF(A24='Données projet'!$A$62,'Données projet'!$B$62,AI23+AH24-AQ23)))</f>
        <v>40.875566387466414</v>
      </c>
      <c r="AJ24" s="14">
        <f>AI24*VLOOKUP('Données projet'!$B$10,Paramètres!$A$1:$I$89,3,0)*VLOOKUP('Données projet'!$B$10,Paramètres!$A$1:$I$89,5,0)</f>
        <v>24.443588699704918</v>
      </c>
      <c r="AK24" s="14">
        <f t="shared" si="35"/>
        <v>7.7648778842379169</v>
      </c>
      <c r="AL24" s="22">
        <f t="shared" si="4"/>
        <v>56.096412633700432</v>
      </c>
      <c r="AM24" s="62">
        <f t="shared" si="5"/>
        <v>338.42974596703374</v>
      </c>
      <c r="AN24" s="62">
        <f ca="1">AVERAGE(OFFSET($AM$3,0,0,'Données projet'!$E$10+1,1))-AVERAGE(OFFSET($H$3,0,0,'Données projet'!$E$10+1,1))</f>
        <v>295.83974441964551</v>
      </c>
      <c r="AO24" s="62">
        <f t="shared" si="36"/>
        <v>212.24900914818096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2.1228070175438596</v>
      </c>
      <c r="BD24" s="13">
        <f>IF('Données projet'!$A$88&gt;35,BD23+BC24-BL23,IF(A24&lt;'Données projet'!$A$88,$BA$205^A24,IF(A24='Données projet'!$A$88,'Données projet'!$B$88,BD23+BC24-BL23)))</f>
        <v>44.578947368421069</v>
      </c>
      <c r="BE24" s="14">
        <f>BD24*VLOOKUP('Données projet'!$B$11,Paramètres!$A$1:$I$89,3,0)*VLOOKUP('Données projet'!$B$11,Paramètres!$A$1:$I$89,5,0)</f>
        <v>21.442473684210537</v>
      </c>
      <c r="BF24" s="14">
        <f t="shared" si="37"/>
        <v>6.9161842401216935</v>
      </c>
      <c r="BG24" s="22">
        <f t="shared" si="7"/>
        <v>49.391329218211972</v>
      </c>
      <c r="BH24" s="62">
        <f t="shared" si="8"/>
        <v>331.72466255154529</v>
      </c>
      <c r="BI24" s="62">
        <f ca="1">AVERAGE(OFFSET($BH$3,0,0,'Données projet'!$E$11+1,1))-AVERAGE(OFFSET($H$3,0,0,'Données projet'!$E$11+1,1))</f>
        <v>206.96327004330573</v>
      </c>
      <c r="BJ24" s="62">
        <f t="shared" si="38"/>
        <v>106.52590664430284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7.0434782608695654</v>
      </c>
      <c r="N25" s="14">
        <f>IF('Données projet'!$A$36&gt;35,N24+M25-V24,IF(A25&lt;'Données projet'!$A$36,$K$205^A25,IF(A25='Données projet'!$A$36,'Données projet'!$B$36,N24+M25-V24)))</f>
        <v>129.852149874303</v>
      </c>
      <c r="O25" s="14">
        <f>N25*VLOOKUP('Données projet'!$B$9,Paramètres!$A$1:$I$89,3,0)*VLOOKUP('Données projet'!$B$9,Paramètres!$A$1:$I$89,5,0)</f>
        <v>72.587351779735371</v>
      </c>
      <c r="P25" s="14">
        <f t="shared" si="33"/>
        <v>20.314624645928472</v>
      </c>
      <c r="Q25" s="22">
        <f t="shared" si="2"/>
        <v>161.80427560803119</v>
      </c>
      <c r="R25" s="62">
        <f t="shared" si="0"/>
        <v>445.3598311635867</v>
      </c>
      <c r="S25" s="62">
        <f ca="1">AVERAGE(OFFSET($R$3,0,0,'Données projet'!$E$9+1,1))-AVERAGE(OFFSET($H$3,0,0,'Données projet'!$E$9+1,1))</f>
        <v>365.70510182727895</v>
      </c>
      <c r="T25" s="62">
        <f t="shared" si="34"/>
        <v>436.23833844962525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4.3703703703703702</v>
      </c>
      <c r="AI25" s="14">
        <f>IF('Données projet'!$A$62&gt;35,AI24+AH25-AQ24,IF(A25&lt;'Données projet'!$A$62,$AF$205^A25,IF(A25='Données projet'!$A$62,'Données projet'!$B$62,AI24+AH25-AQ24)))</f>
        <v>48.775323004469058</v>
      </c>
      <c r="AJ25" s="14">
        <f>AI25*VLOOKUP('Données projet'!$B$10,Paramètres!$A$1:$I$89,3,0)*VLOOKUP('Données projet'!$B$10,Paramètres!$A$1:$I$89,5,0)</f>
        <v>29.167643156672497</v>
      </c>
      <c r="AK25" s="14">
        <f t="shared" si="35"/>
        <v>9.0769279301265016</v>
      </c>
      <c r="AL25" s="22">
        <f t="shared" si="4"/>
        <v>66.60929464284159</v>
      </c>
      <c r="AM25" s="62">
        <f t="shared" si="5"/>
        <v>350.16485019839712</v>
      </c>
      <c r="AN25" s="62">
        <f ca="1">AVERAGE(OFFSET($AM$3,0,0,'Données projet'!$E$10+1,1))-AVERAGE(OFFSET($H$3,0,0,'Données projet'!$E$10+1,1))</f>
        <v>295.83974441964551</v>
      </c>
      <c r="AO25" s="62">
        <f t="shared" si="36"/>
        <v>212.24900914818096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2.1228070175438596</v>
      </c>
      <c r="BD25" s="13">
        <f>IF('Données projet'!$A$88&gt;35,BD24+BC25-BL24,IF(A25&lt;'Données projet'!$A$88,$BA$205^A25,IF(A25='Données projet'!$A$88,'Données projet'!$B$88,BD24+BC25-BL24)))</f>
        <v>46.701754385964932</v>
      </c>
      <c r="BE25" s="14">
        <f>BD25*VLOOKUP('Données projet'!$B$11,Paramètres!$A$1:$I$89,3,0)*VLOOKUP('Données projet'!$B$11,Paramètres!$A$1:$I$89,5,0)</f>
        <v>22.463543859649135</v>
      </c>
      <c r="BF25" s="14">
        <f t="shared" si="37"/>
        <v>7.2063983633675797</v>
      </c>
      <c r="BG25" s="22">
        <f t="shared" si="7"/>
        <v>51.675149371754117</v>
      </c>
      <c r="BH25" s="62">
        <f t="shared" si="8"/>
        <v>335.23070492730966</v>
      </c>
      <c r="BI25" s="62">
        <f ca="1">AVERAGE(OFFSET($BH$3,0,0,'Données projet'!$E$11+1,1))-AVERAGE(OFFSET($H$3,0,0,'Données projet'!$E$11+1,1))</f>
        <v>206.96327004330573</v>
      </c>
      <c r="BJ25" s="62">
        <f t="shared" si="38"/>
        <v>106.52590664430284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162</v>
      </c>
      <c r="L26" s="13">
        <f>VLOOKUP(A26,'Données projet'!$A$35:$I$55,9,0)</f>
        <v>7.0434782608695654</v>
      </c>
      <c r="M26" s="13">
        <f t="array" ref="M26">INDEX(L:L,MIN(IF(ISNUMBER(L26:L222),ROW(L26:L222),"")))</f>
        <v>7.0434782608695654</v>
      </c>
      <c r="N26" s="14">
        <f>IF('Données projet'!$A$36&gt;35,N25+M26-V25,IF(A26&lt;'Données projet'!$A$36,$K$205^A26,IF(A26='Données projet'!$A$36,'Données projet'!$B$36,N25+M26-V25)))</f>
        <v>162</v>
      </c>
      <c r="O26" s="14">
        <f>N26*VLOOKUP('Données projet'!$B$9,Paramètres!$A$1:$I$89,3,0)*VLOOKUP('Données projet'!$B$9,Paramètres!$A$1:$I$89,5,0)</f>
        <v>90.557999999999993</v>
      </c>
      <c r="P26" s="14">
        <f t="shared" si="33"/>
        <v>24.699752708509138</v>
      </c>
      <c r="Q26" s="22">
        <f t="shared" si="2"/>
        <v>200.74058596732007</v>
      </c>
      <c r="R26" s="62">
        <f t="shared" si="0"/>
        <v>485.51836374509787</v>
      </c>
      <c r="S26" s="62">
        <f ca="1">AVERAGE(OFFSET($R$3,0,0,'Données projet'!$E$9+1,1))-AVERAGE(OFFSET($H$3,0,0,'Données projet'!$E$9+1,1))</f>
        <v>365.70510182727895</v>
      </c>
      <c r="T26" s="62">
        <f t="shared" si="34"/>
        <v>436.23833844962525</v>
      </c>
      <c r="U26" s="16">
        <f>IF(ISNA(VLOOKUP(A26,'Données projet'!$A$35:$I$55,3,0)),0,VLOOKUP(A26,'Données projet'!$A$35:$I$55,3,0))</f>
        <v>1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4.3703703703703702</v>
      </c>
      <c r="AI26" s="14">
        <f>IF('Données projet'!$A$62&gt;35,AI25+AH26-AQ25,IF(A26&lt;'Données projet'!$A$62,$AF$205^A26,IF(A26='Données projet'!$A$62,'Données projet'!$B$62,AI25+AH26-AQ25)))</f>
        <v>58.201814542189823</v>
      </c>
      <c r="AJ26" s="14">
        <f>AI26*VLOOKUP('Données projet'!$B$10,Paramètres!$A$1:$I$89,3,0)*VLOOKUP('Données projet'!$B$10,Paramètres!$A$1:$I$89,5,0)</f>
        <v>34.804685096229512</v>
      </c>
      <c r="AK26" s="14">
        <f t="shared" si="35"/>
        <v>10.610678220189007</v>
      </c>
      <c r="AL26" s="22">
        <f t="shared" si="4"/>
        <v>79.098424442762266</v>
      </c>
      <c r="AM26" s="62">
        <f t="shared" si="5"/>
        <v>363.87620222054005</v>
      </c>
      <c r="AN26" s="62">
        <f ca="1">AVERAGE(OFFSET($AM$3,0,0,'Données projet'!$E$10+1,1))-AVERAGE(OFFSET($H$3,0,0,'Données projet'!$E$10+1,1))</f>
        <v>295.83974441964551</v>
      </c>
      <c r="AO26" s="62">
        <f t="shared" si="36"/>
        <v>212.24900914818096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2.1228070175438596</v>
      </c>
      <c r="BD26" s="13">
        <f>IF('Données projet'!$A$88&gt;35,BD25+BC26-BL25,IF(A26&lt;'Données projet'!$A$88,$BA$205^A26,IF(A26='Données projet'!$A$88,'Données projet'!$B$88,BD25+BC26-BL25)))</f>
        <v>48.824561403508795</v>
      </c>
      <c r="BE26" s="14">
        <f>BD26*VLOOKUP('Données projet'!$B$11,Paramètres!$A$1:$I$89,3,0)*VLOOKUP('Données projet'!$B$11,Paramètres!$A$1:$I$89,5,0)</f>
        <v>23.484614035087731</v>
      </c>
      <c r="BF26" s="14">
        <f t="shared" si="37"/>
        <v>7.4950804879475967</v>
      </c>
      <c r="BG26" s="22">
        <f t="shared" si="7"/>
        <v>53.956301294286526</v>
      </c>
      <c r="BH26" s="62">
        <f t="shared" si="8"/>
        <v>338.73407907206428</v>
      </c>
      <c r="BI26" s="62">
        <f ca="1">AVERAGE(OFFSET($BH$3,0,0,'Données projet'!$E$11+1,1))-AVERAGE(OFFSET($H$3,0,0,'Données projet'!$E$11+1,1))</f>
        <v>206.96327004330573</v>
      </c>
      <c r="BJ26" s="62">
        <f t="shared" si="38"/>
        <v>106.52590664430284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28</v>
      </c>
      <c r="N27" s="14">
        <f>IF('Données projet'!$A$36&gt;35,N26+M27-V26,IF(A27&lt;'Données projet'!$A$36,$K$205^A27,IF(A27='Données projet'!$A$36,'Données projet'!$B$36,N26+M27-V26)))</f>
        <v>190</v>
      </c>
      <c r="O27" s="14">
        <f>N27*VLOOKUP('Données projet'!$B$9,Paramètres!$A$1:$I$89,3,0)*VLOOKUP('Données projet'!$B$9,Paramètres!$A$1:$I$89,5,0)</f>
        <v>106.21000000000001</v>
      </c>
      <c r="P27" s="14">
        <f t="shared" si="33"/>
        <v>28.436217026228483</v>
      </c>
      <c r="Q27" s="22">
        <f t="shared" si="2"/>
        <v>234.50882798734798</v>
      </c>
      <c r="R27" s="62">
        <f t="shared" si="0"/>
        <v>520.50882798734801</v>
      </c>
      <c r="S27" s="62">
        <f ca="1">AVERAGE(OFFSET($R$3,0,0,'Données projet'!$E$9+1,1))-AVERAGE(OFFSET($H$3,0,0,'Données projet'!$E$9+1,1))</f>
        <v>365.70510182727895</v>
      </c>
      <c r="T27" s="62">
        <f t="shared" si="34"/>
        <v>436.23833844962525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4.3703703703703702</v>
      </c>
      <c r="AI27" s="14">
        <f>IF('Données projet'!$A$62&gt;35,AI26+AH27-AQ26,IF(A27&lt;'Données projet'!$A$62,$AF$205^A27,IF(A27='Données projet'!$A$62,'Données projet'!$B$62,AI26+AH27-AQ26)))</f>
        <v>69.450103194459274</v>
      </c>
      <c r="AJ27" s="14">
        <f>AI27*VLOOKUP('Données projet'!$B$10,Paramètres!$A$1:$I$89,3,0)*VLOOKUP('Données projet'!$B$10,Paramètres!$A$1:$I$89,5,0)</f>
        <v>41.531161710286646</v>
      </c>
      <c r="AK27" s="14">
        <f t="shared" si="35"/>
        <v>12.40358997659513</v>
      </c>
      <c r="AL27" s="22">
        <f t="shared" si="4"/>
        <v>93.936359187985758</v>
      </c>
      <c r="AM27" s="62">
        <f t="shared" si="5"/>
        <v>379.93635918798577</v>
      </c>
      <c r="AN27" s="62">
        <f ca="1">AVERAGE(OFFSET($AM$3,0,0,'Données projet'!$E$10+1,1))-AVERAGE(OFFSET($H$3,0,0,'Données projet'!$E$10+1,1))</f>
        <v>295.83974441964551</v>
      </c>
      <c r="AO27" s="62">
        <f t="shared" si="36"/>
        <v>212.24900914818096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2.1228070175438596</v>
      </c>
      <c r="BD27" s="13">
        <f>IF('Données projet'!$A$88&gt;35,BD26+BC27-BL26,IF(A27&lt;'Données projet'!$A$88,$BA$205^A27,IF(A27='Données projet'!$A$88,'Données projet'!$B$88,BD26+BC27-BL26)))</f>
        <v>50.947368421052659</v>
      </c>
      <c r="BE27" s="14">
        <f>BD27*VLOOKUP('Données projet'!$B$11,Paramètres!$A$1:$I$89,3,0)*VLOOKUP('Données projet'!$B$11,Paramètres!$A$1:$I$89,5,0)</f>
        <v>24.505684210526329</v>
      </c>
      <c r="BF27" s="14">
        <f t="shared" si="37"/>
        <v>7.7823048356307662</v>
      </c>
      <c r="BG27" s="22">
        <f t="shared" si="7"/>
        <v>56.234914255390265</v>
      </c>
      <c r="BH27" s="62">
        <f t="shared" si="8"/>
        <v>342.23491425539027</v>
      </c>
      <c r="BI27" s="62">
        <f ca="1">AVERAGE(OFFSET($BH$3,0,0,'Données projet'!$E$11+1,1))-AVERAGE(OFFSET($H$3,0,0,'Données projet'!$E$11+1,1))</f>
        <v>206.96327004330573</v>
      </c>
      <c r="BJ27" s="62">
        <f t="shared" si="38"/>
        <v>106.52590664430284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218</v>
      </c>
      <c r="L28" s="13">
        <f>VLOOKUP(A28,'Données projet'!$A$35:$I$55,9,0)</f>
        <v>28</v>
      </c>
      <c r="M28" s="13">
        <f t="array" ref="M28">INDEX(L:L,MIN(IF(ISNUMBER(L28:L224),ROW(L28:L224),"")))</f>
        <v>28</v>
      </c>
      <c r="N28" s="14">
        <f>IF('Données projet'!$A$36&gt;35,N27+M28-V27,IF(A28&lt;'Données projet'!$A$36,$K$205^A28,IF(A28='Données projet'!$A$36,'Données projet'!$B$36,N27+M28-V27)))</f>
        <v>218</v>
      </c>
      <c r="O28" s="14">
        <f>N28*VLOOKUP('Données projet'!$B$9,Paramètres!$A$1:$I$89,3,0)*VLOOKUP('Données projet'!$B$9,Paramètres!$A$1:$I$89,5,0)</f>
        <v>121.86199999999999</v>
      </c>
      <c r="P28" s="14">
        <f t="shared" si="33"/>
        <v>32.108890276712884</v>
      </c>
      <c r="Q28" s="22">
        <f t="shared" si="2"/>
        <v>268.16596723194158</v>
      </c>
      <c r="R28" s="62">
        <f t="shared" si="0"/>
        <v>555.38818945416381</v>
      </c>
      <c r="S28" s="62">
        <f ca="1">AVERAGE(OFFSET($R$3,0,0,'Données projet'!$E$9+1,1))-AVERAGE(OFFSET($H$3,0,0,'Données projet'!$E$9+1,1))</f>
        <v>365.70510182727895</v>
      </c>
      <c r="T28" s="62">
        <f t="shared" si="34"/>
        <v>436.23833844962525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14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0.55000000000000004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5.6874492100290821</v>
      </c>
      <c r="AB28" s="23">
        <f>EXP(-LN(2)/2)*AB27+(1-EXP(-LN(2)/2))/(LN(2)/2)*V28*Y28*VLOOKUP('Données projet'!$B$9,Paramètres!$A$1:$I$89,3,0)*0.475*44/12</f>
        <v>0</v>
      </c>
      <c r="AC28" s="24">
        <f t="shared" si="3"/>
        <v>5.6874492100290821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4.3703703703703702</v>
      </c>
      <c r="AI28" s="14">
        <f>IF('Données projet'!$A$62&gt;35,AI27+AH28-AQ27,IF(A28&lt;'Données projet'!$A$62,$AF$205^A28,IF(A28='Données projet'!$A$62,'Données projet'!$B$62,AI27+AH28-AQ27)))</f>
        <v>82.872275918900684</v>
      </c>
      <c r="AJ28" s="14">
        <f>AI28*VLOOKUP('Données projet'!$B$10,Paramètres!$A$1:$I$89,3,0)*VLOOKUP('Données projet'!$B$10,Paramètres!$A$1:$I$89,5,0)</f>
        <v>49.557620999502618</v>
      </c>
      <c r="AK28" s="14">
        <f t="shared" si="35"/>
        <v>14.49945433410293</v>
      </c>
      <c r="AL28" s="22">
        <f t="shared" si="4"/>
        <v>111.56607287269634</v>
      </c>
      <c r="AM28" s="62">
        <f t="shared" si="5"/>
        <v>398.78829509491857</v>
      </c>
      <c r="AN28" s="62">
        <f ca="1">AVERAGE(OFFSET($AM$3,0,0,'Données projet'!$E$10+1,1))-AVERAGE(OFFSET($H$3,0,0,'Données projet'!$E$10+1,1))</f>
        <v>295.83974441964551</v>
      </c>
      <c r="AO28" s="62">
        <f t="shared" si="36"/>
        <v>212.24900914818096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2.1228070175438596</v>
      </c>
      <c r="BD28" s="13">
        <f>IF('Données projet'!$A$88&gt;35,BD27+BC28-BL27,IF(A28&lt;'Données projet'!$A$88,$BA$205^A28,IF(A28='Données projet'!$A$88,'Données projet'!$B$88,BD27+BC28-BL27)))</f>
        <v>53.070175438596522</v>
      </c>
      <c r="BE28" s="14">
        <f>BD28*VLOOKUP('Données projet'!$B$11,Paramètres!$A$1:$I$89,3,0)*VLOOKUP('Données projet'!$B$11,Paramètres!$A$1:$I$89,5,0)</f>
        <v>25.526754385964928</v>
      </c>
      <c r="BF28" s="14">
        <f t="shared" si="37"/>
        <v>8.0681390931081811</v>
      </c>
      <c r="BG28" s="22">
        <f t="shared" si="7"/>
        <v>58.511106142718994</v>
      </c>
      <c r="BH28" s="62">
        <f t="shared" si="8"/>
        <v>345.7333283649412</v>
      </c>
      <c r="BI28" s="62">
        <f ca="1">AVERAGE(OFFSET($BH$3,0,0,'Données projet'!$E$11+1,1))-AVERAGE(OFFSET($H$3,0,0,'Données projet'!$E$11+1,1))</f>
        <v>206.96327004330573</v>
      </c>
      <c r="BJ28" s="62">
        <f t="shared" si="38"/>
        <v>106.52590664430284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24.8</v>
      </c>
      <c r="N29" s="14">
        <f>IF('Données projet'!$A$36&gt;35,N28+M29-V28,IF(A29&lt;'Données projet'!$A$36,$K$205^A29,IF(A29='Données projet'!$A$36,'Données projet'!$B$36,N28+M29-V28)))</f>
        <v>228.8</v>
      </c>
      <c r="O29" s="14">
        <f>N29*VLOOKUP('Données projet'!$B$9,Paramètres!$A$1:$I$89,3,0)*VLOOKUP('Données projet'!$B$9,Paramètres!$A$1:$I$89,5,0)</f>
        <v>127.89920000000001</v>
      </c>
      <c r="P29" s="14">
        <f t="shared" si="33"/>
        <v>33.510466808314675</v>
      </c>
      <c r="Q29" s="22">
        <f t="shared" si="2"/>
        <v>281.12183635781474</v>
      </c>
      <c r="R29" s="62">
        <f t="shared" si="0"/>
        <v>569.56628080225914</v>
      </c>
      <c r="S29" s="62">
        <f ca="1">AVERAGE(OFFSET($R$3,0,0,'Données projet'!$E$9+1,1))-AVERAGE(OFFSET($H$3,0,0,'Données projet'!$E$9+1,1))</f>
        <v>365.70510182727895</v>
      </c>
      <c r="T29" s="62">
        <f t="shared" si="34"/>
        <v>436.23833844962525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5.5319256122908813</v>
      </c>
      <c r="AB29" s="23">
        <f>EXP(-LN(2)/2)*AB28+(1-EXP(-LN(2)/2))/(LN(2)/2)*V29*Y29*VLOOKUP('Données projet'!$B$9,Paramètres!$A$1:$I$89,3,0)*0.475*44/12</f>
        <v>0</v>
      </c>
      <c r="AC29" s="24">
        <f t="shared" si="3"/>
        <v>5.5319256122908813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4.3703703703703702</v>
      </c>
      <c r="AI29" s="14">
        <f>IF('Données projet'!$A$62&gt;35,AI28+AH29-AQ28,IF(A29&lt;'Données projet'!$A$62,$AF$205^A29,IF(A29='Données projet'!$A$62,'Données projet'!$B$62,AI28+AH29-AQ28)))</f>
        <v>98.888465244589028</v>
      </c>
      <c r="AJ29" s="14">
        <f>AI29*VLOOKUP('Données projet'!$B$10,Paramètres!$A$1:$I$89,3,0)*VLOOKUP('Données projet'!$B$10,Paramètres!$A$1:$I$89,5,0)</f>
        <v>59.135302216264243</v>
      </c>
      <c r="AK29" s="14">
        <f t="shared" si="35"/>
        <v>16.949461920575921</v>
      </c>
      <c r="AL29" s="22">
        <f t="shared" si="4"/>
        <v>132.51429753832994</v>
      </c>
      <c r="AM29" s="62">
        <f t="shared" si="5"/>
        <v>420.95874198277443</v>
      </c>
      <c r="AN29" s="62">
        <f ca="1">AVERAGE(OFFSET($AM$3,0,0,'Données projet'!$E$10+1,1))-AVERAGE(OFFSET($H$3,0,0,'Données projet'!$E$10+1,1))</f>
        <v>295.83974441964551</v>
      </c>
      <c r="AO29" s="62">
        <f t="shared" si="36"/>
        <v>212.24900914818096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2.1228070175438596</v>
      </c>
      <c r="BD29" s="13">
        <f>IF('Données projet'!$A$88&gt;35,BD28+BC29-BL28,IF(A29&lt;'Données projet'!$A$88,$BA$205^A29,IF(A29='Données projet'!$A$88,'Données projet'!$B$88,BD28+BC29-BL28)))</f>
        <v>55.192982456140385</v>
      </c>
      <c r="BE29" s="14">
        <f>BD29*VLOOKUP('Données projet'!$B$11,Paramètres!$A$1:$I$89,3,0)*VLOOKUP('Données projet'!$B$11,Paramètres!$A$1:$I$89,5,0)</f>
        <v>26.547824561403527</v>
      </c>
      <c r="BF29" s="14">
        <f t="shared" si="37"/>
        <v>8.3526452256330384</v>
      </c>
      <c r="BG29" s="22">
        <f t="shared" si="7"/>
        <v>60.784984879088675</v>
      </c>
      <c r="BH29" s="62">
        <f t="shared" si="8"/>
        <v>349.22942932353311</v>
      </c>
      <c r="BI29" s="62">
        <f ca="1">AVERAGE(OFFSET($BH$3,0,0,'Données projet'!$E$11+1,1))-AVERAGE(OFFSET($H$3,0,0,'Données projet'!$E$11+1,1))</f>
        <v>206.96327004330573</v>
      </c>
      <c r="BJ29" s="62">
        <f t="shared" si="38"/>
        <v>106.52590664430284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24.8</v>
      </c>
      <c r="N30" s="14">
        <f>IF('Données projet'!$A$36&gt;35,N29+M30-V29,IF(A30&lt;'Données projet'!$A$36,$K$205^A30,IF(A30='Données projet'!$A$36,'Données projet'!$B$36,N29+M30-V29)))</f>
        <v>253.60000000000002</v>
      </c>
      <c r="O30" s="14">
        <f>N30*VLOOKUP('Données projet'!$B$9,Paramètres!$A$1:$I$89,3,0)*VLOOKUP('Données projet'!$B$9,Paramètres!$A$1:$I$89,5,0)</f>
        <v>141.76240000000001</v>
      </c>
      <c r="P30" s="14">
        <f t="shared" si="33"/>
        <v>36.70045216027021</v>
      </c>
      <c r="Q30" s="22">
        <f t="shared" si="2"/>
        <v>310.82280084580395</v>
      </c>
      <c r="R30" s="62">
        <f t="shared" si="0"/>
        <v>600.48946751247058</v>
      </c>
      <c r="S30" s="62">
        <f ca="1">AVERAGE(OFFSET($R$3,0,0,'Données projet'!$E$9+1,1))-AVERAGE(OFFSET($H$3,0,0,'Données projet'!$E$9+1,1))</f>
        <v>365.70510182727895</v>
      </c>
      <c r="T30" s="62">
        <f t="shared" si="34"/>
        <v>436.23833844962525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5.3806548155114626</v>
      </c>
      <c r="AB30" s="23">
        <f>EXP(-LN(2)/2)*AB29+(1-EXP(-LN(2)/2))/(LN(2)/2)*V30*Y30*VLOOKUP('Données projet'!$B$9,Paramètres!$A$1:$I$89,3,0)*0.475*44/12</f>
        <v>0</v>
      </c>
      <c r="AC30" s="24">
        <f t="shared" si="3"/>
        <v>5.3806548155114626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>
        <f>VLOOKUP(A30,'Données projet'!$A$61:$I$81,2,0)</f>
        <v>118</v>
      </c>
      <c r="AG30" s="13">
        <f>VLOOKUP(A30,'Données projet'!$A$61:$I$81,9,0)</f>
        <v>4.3703703703703702</v>
      </c>
      <c r="AH30" s="13">
        <f t="array" ref="AH30">INDEX(AG:AG,MIN(IF(ISNUMBER(AG30:AG226),ROW(AG30:AG226),"")))</f>
        <v>4.3703703703703702</v>
      </c>
      <c r="AI30" s="14">
        <f>IF('Données projet'!$A$62&gt;35,AI29+AH30-AQ29,IF(A30&lt;'Données projet'!$A$62,$AF$205^A30,IF(A30='Données projet'!$A$62,'Données projet'!$B$62,AI29+AH30-AQ29)))</f>
        <v>118</v>
      </c>
      <c r="AJ30" s="14">
        <f>AI30*VLOOKUP('Données projet'!$B$10,Paramètres!$A$1:$I$89,3,0)*VLOOKUP('Données projet'!$B$10,Paramètres!$A$1:$I$89,5,0)</f>
        <v>70.564000000000007</v>
      </c>
      <c r="AK30" s="14">
        <f t="shared" si="35"/>
        <v>19.813453167086163</v>
      </c>
      <c r="AL30" s="22">
        <f t="shared" si="4"/>
        <v>157.40739759934175</v>
      </c>
      <c r="AM30" s="62">
        <f t="shared" si="5"/>
        <v>447.07406426600846</v>
      </c>
      <c r="AN30" s="62">
        <f ca="1">AVERAGE(OFFSET($AM$3,0,0,'Données projet'!$E$10+1,1))-AVERAGE(OFFSET($H$3,0,0,'Données projet'!$E$10+1,1))</f>
        <v>295.83974441964551</v>
      </c>
      <c r="AO30" s="62">
        <f t="shared" si="36"/>
        <v>212.24900914818096</v>
      </c>
      <c r="AP30" s="16">
        <f>IF(ISNA(VLOOKUP(A30,'Données projet'!$A$61:$I$81,3,0)),0,VLOOKUP(A30,'Données projet'!$A$61:$I$81,3,0))</f>
        <v>1</v>
      </c>
      <c r="AQ30" s="16">
        <f>IF(ISNA(VLOOKUP(A30,'Données projet'!$A$61:$I$81,4,0)),0,VLOOKUP(A30,'Données projet'!$A$61:$I$81,4,0))</f>
        <v>15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0.45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5.3335940190698592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5.3335940190698592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2.1228070175438596</v>
      </c>
      <c r="BD30" s="13">
        <f>IF('Données projet'!$A$88&gt;35,BD29+BC30-BL29,IF(A30&lt;'Données projet'!$A$88,$BA$205^A30,IF(A30='Données projet'!$A$88,'Données projet'!$B$88,BD29+BC30-BL29)))</f>
        <v>57.315789473684248</v>
      </c>
      <c r="BE30" s="14">
        <f>BD30*VLOOKUP('Données projet'!$B$11,Paramètres!$A$1:$I$89,3,0)*VLOOKUP('Données projet'!$B$11,Paramètres!$A$1:$I$89,5,0)</f>
        <v>27.568894736842122</v>
      </c>
      <c r="BF30" s="14">
        <f t="shared" si="37"/>
        <v>8.6358801619643799</v>
      </c>
      <c r="BG30" s="22">
        <f t="shared" si="7"/>
        <v>63.056649615421321</v>
      </c>
      <c r="BH30" s="62">
        <f t="shared" si="8"/>
        <v>352.72331628208804</v>
      </c>
      <c r="BI30" s="62">
        <f ca="1">AVERAGE(OFFSET($BH$3,0,0,'Données projet'!$E$11+1,1))-AVERAGE(OFFSET($H$3,0,0,'Données projet'!$E$11+1,1))</f>
        <v>206.96327004330573</v>
      </c>
      <c r="BJ30" s="62">
        <f t="shared" si="38"/>
        <v>106.52590664430284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24.8</v>
      </c>
      <c r="N31" s="14">
        <f>IF('Données projet'!$A$36&gt;35,N30+M31-V30,IF(A31&lt;'Données projet'!$A$36,$K$205^A31,IF(A31='Données projet'!$A$36,'Données projet'!$B$36,N30+M31-V30)))</f>
        <v>278.40000000000003</v>
      </c>
      <c r="O31" s="14">
        <f>N31*VLOOKUP('Données projet'!$B$9,Paramètres!$A$1:$I$89,3,0)*VLOOKUP('Données projet'!$B$9,Paramètres!$A$1:$I$89,5,0)</f>
        <v>155.62560000000002</v>
      </c>
      <c r="P31" s="14">
        <f t="shared" si="33"/>
        <v>39.854271109683154</v>
      </c>
      <c r="Q31" s="22">
        <f t="shared" si="2"/>
        <v>340.46077551603156</v>
      </c>
      <c r="R31" s="62">
        <f t="shared" si="0"/>
        <v>631.34966440492042</v>
      </c>
      <c r="S31" s="62">
        <f ca="1">AVERAGE(OFFSET($R$3,0,0,'Données projet'!$E$9+1,1))-AVERAGE(OFFSET($H$3,0,0,'Données projet'!$E$9+1,1))</f>
        <v>365.70510182727895</v>
      </c>
      <c r="T31" s="62">
        <f t="shared" si="34"/>
        <v>436.23833844962525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5.2335205266249627</v>
      </c>
      <c r="AB31" s="23">
        <f>EXP(-LN(2)/2)*AB30+(1-EXP(-LN(2)/2))/(LN(2)/2)*V31*Y31*VLOOKUP('Données projet'!$B$9,Paramètres!$A$1:$I$89,3,0)*0.475*44/12</f>
        <v>0</v>
      </c>
      <c r="AC31" s="24">
        <f t="shared" si="3"/>
        <v>5.2335205266249627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9.6666666666666661</v>
      </c>
      <c r="AI31" s="14">
        <f>IF('Données projet'!$A$62&gt;35,AI30+AH31-AQ30,IF(A31&lt;'Données projet'!$A$62,$AF$205^A31,IF(A31='Données projet'!$A$62,'Données projet'!$B$62,AI30+AH31-AQ30)))</f>
        <v>112.66666666666667</v>
      </c>
      <c r="AJ31" s="14">
        <f>AI31*VLOOKUP('Données projet'!$B$10,Paramètres!$A$1:$I$89,3,0)*VLOOKUP('Données projet'!$B$10,Paramètres!$A$1:$I$89,5,0)</f>
        <v>67.37466666666667</v>
      </c>
      <c r="AK31" s="14">
        <f t="shared" si="35"/>
        <v>19.020051421525295</v>
      </c>
      <c r="AL31" s="22">
        <f t="shared" si="4"/>
        <v>150.47080067026766</v>
      </c>
      <c r="AM31" s="62">
        <f t="shared" si="5"/>
        <v>441.35968955915655</v>
      </c>
      <c r="AN31" s="62">
        <f ca="1">AVERAGE(OFFSET($AM$3,0,0,'Données projet'!$E$10+1,1))-AVERAGE(OFFSET($H$3,0,0,'Données projet'!$E$10+1,1))</f>
        <v>295.83974441964551</v>
      </c>
      <c r="AO31" s="62">
        <f t="shared" si="36"/>
        <v>212.24900914818096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5.1877466101368741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5.1877466101368741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2.1228070175438596</v>
      </c>
      <c r="BD31" s="13">
        <f>IF('Données projet'!$A$88&gt;35,BD30+BC31-BL30,IF(A31&lt;'Données projet'!$A$88,$BA$205^A31,IF(A31='Données projet'!$A$88,'Données projet'!$B$88,BD30+BC31-BL30)))</f>
        <v>59.438596491228111</v>
      </c>
      <c r="BE31" s="14">
        <f>BD31*VLOOKUP('Données projet'!$B$11,Paramètres!$A$1:$I$89,3,0)*VLOOKUP('Données projet'!$B$11,Paramètres!$A$1:$I$89,5,0)</f>
        <v>28.58996491228072</v>
      </c>
      <c r="BF31" s="14">
        <f t="shared" si="37"/>
        <v>8.9178963749851548</v>
      </c>
      <c r="BG31" s="22">
        <f t="shared" si="7"/>
        <v>65.326191741988069</v>
      </c>
      <c r="BH31" s="62">
        <f t="shared" si="8"/>
        <v>356.21508063087691</v>
      </c>
      <c r="BI31" s="62">
        <f ca="1">AVERAGE(OFFSET($BH$3,0,0,'Données projet'!$E$11+1,1))-AVERAGE(OFFSET($H$3,0,0,'Données projet'!$E$11+1,1))</f>
        <v>206.96327004330573</v>
      </c>
      <c r="BJ31" s="62">
        <f t="shared" si="38"/>
        <v>106.52590664430284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24.8</v>
      </c>
      <c r="N32" s="14">
        <f>IF('Données projet'!$A$36&gt;35,N31+M32-V31,IF(A32&lt;'Données projet'!$A$36,$K$205^A32,IF(A32='Données projet'!$A$36,'Données projet'!$B$36,N31+M32-V31)))</f>
        <v>303.20000000000005</v>
      </c>
      <c r="O32" s="14">
        <f>N32*VLOOKUP('Données projet'!$B$9,Paramètres!$A$1:$I$89,3,0)*VLOOKUP('Données projet'!$B$9,Paramètres!$A$1:$I$89,5,0)</f>
        <v>169.48880000000003</v>
      </c>
      <c r="P32" s="14">
        <f t="shared" si="33"/>
        <v>42.975511730949684</v>
      </c>
      <c r="Q32" s="22">
        <f t="shared" si="2"/>
        <v>370.04200959807071</v>
      </c>
      <c r="R32" s="62">
        <f t="shared" si="0"/>
        <v>662.15312070918185</v>
      </c>
      <c r="S32" s="62">
        <f ca="1">AVERAGE(OFFSET($R$3,0,0,'Données projet'!$E$9+1,1))-AVERAGE(OFFSET($H$3,0,0,'Données projet'!$E$9+1,1))</f>
        <v>365.70510182727895</v>
      </c>
      <c r="T32" s="62">
        <f t="shared" si="34"/>
        <v>436.23833844962525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5.0904096326055202</v>
      </c>
      <c r="AB32" s="23">
        <f>EXP(-LN(2)/2)*AB31+(1-EXP(-LN(2)/2))/(LN(2)/2)*V32*Y32*VLOOKUP('Données projet'!$B$9,Paramètres!$A$1:$I$89,3,0)*0.475*44/12</f>
        <v>0</v>
      </c>
      <c r="AC32" s="24">
        <f t="shared" si="3"/>
        <v>5.0904096326055202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9.6666666666666661</v>
      </c>
      <c r="AI32" s="14">
        <f>IF('Données projet'!$A$62&gt;35,AI31+AH32-AQ31,IF(A32&lt;'Données projet'!$A$62,$AF$205^A32,IF(A32='Données projet'!$A$62,'Données projet'!$B$62,AI31+AH32-AQ31)))</f>
        <v>122.33333333333334</v>
      </c>
      <c r="AJ32" s="14">
        <f>AI32*VLOOKUP('Données projet'!$B$10,Paramètres!$A$1:$I$89,3,0)*VLOOKUP('Données projet'!$B$10,Paramètres!$A$1:$I$89,5,0)</f>
        <v>73.155333333333346</v>
      </c>
      <c r="AK32" s="14">
        <f t="shared" si="35"/>
        <v>20.455016056663315</v>
      </c>
      <c r="AL32" s="22">
        <f t="shared" si="4"/>
        <v>163.03802518757752</v>
      </c>
      <c r="AM32" s="62">
        <f t="shared" si="5"/>
        <v>455.14913629868863</v>
      </c>
      <c r="AN32" s="62">
        <f ca="1">AVERAGE(OFFSET($AM$3,0,0,'Données projet'!$E$10+1,1))-AVERAGE(OFFSET($H$3,0,0,'Données projet'!$E$10+1,1))</f>
        <v>295.83974441964551</v>
      </c>
      <c r="AO32" s="62">
        <f t="shared" si="36"/>
        <v>212.24900914818096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5.0458874062709436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5.0458874062709436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2.1228070175438596</v>
      </c>
      <c r="BD32" s="13">
        <f>IF('Données projet'!$A$88&gt;35,BD31+BC32-BL31,IF(A32&lt;'Données projet'!$A$88,$BA$205^A32,IF(A32='Données projet'!$A$88,'Données projet'!$B$88,BD31+BC32-BL31)))</f>
        <v>61.561403508771974</v>
      </c>
      <c r="BE32" s="14">
        <f>BD32*VLOOKUP('Données projet'!$B$11,Paramètres!$A$1:$I$89,3,0)*VLOOKUP('Données projet'!$B$11,Paramètres!$A$1:$I$89,5,0)</f>
        <v>29.611035087719319</v>
      </c>
      <c r="BF32" s="14">
        <f t="shared" si="37"/>
        <v>9.198742377043958</v>
      </c>
      <c r="BG32" s="22">
        <f t="shared" si="7"/>
        <v>67.593695751129374</v>
      </c>
      <c r="BH32" s="62">
        <f t="shared" si="8"/>
        <v>359.7048068622405</v>
      </c>
      <c r="BI32" s="62">
        <f ca="1">AVERAGE(OFFSET($BH$3,0,0,'Données projet'!$E$11+1,1))-AVERAGE(OFFSET($H$3,0,0,'Données projet'!$E$11+1,1))</f>
        <v>206.96327004330573</v>
      </c>
      <c r="BJ32" s="62">
        <f t="shared" si="38"/>
        <v>106.52590664430284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328</v>
      </c>
      <c r="L33" s="13">
        <f>VLOOKUP(A33,'Données projet'!$A$35:$I$55,9,0)</f>
        <v>24.8</v>
      </c>
      <c r="M33" s="13">
        <f t="array" ref="M33">INDEX(L:L,MIN(IF(ISNUMBER(L33:L229),ROW(L33:L229),"")))</f>
        <v>24.8</v>
      </c>
      <c r="N33" s="14">
        <f>IF('Données projet'!$A$36&gt;35,N32+M33-V32,IF(A33&lt;'Données projet'!$A$36,$K$205^A33,IF(A33='Données projet'!$A$36,'Données projet'!$B$36,N32+M33-V32)))</f>
        <v>328.00000000000006</v>
      </c>
      <c r="O33" s="14">
        <f>N33*VLOOKUP('Données projet'!$B$9,Paramètres!$A$1:$I$89,3,0)*VLOOKUP('Données projet'!$B$9,Paramètres!$A$1:$I$89,5,0)</f>
        <v>183.35200000000003</v>
      </c>
      <c r="P33" s="14">
        <f t="shared" si="33"/>
        <v>46.06714169356475</v>
      </c>
      <c r="Q33" s="22">
        <f t="shared" si="2"/>
        <v>399.57167178295862</v>
      </c>
      <c r="R33" s="62">
        <f t="shared" si="0"/>
        <v>692.90500511629193</v>
      </c>
      <c r="S33" s="62">
        <f ca="1">AVERAGE(OFFSET($R$3,0,0,'Données projet'!$E$9+1,1))-AVERAGE(OFFSET($H$3,0,0,'Données projet'!$E$9+1,1))</f>
        <v>365.70510182727895</v>
      </c>
      <c r="T33" s="62">
        <f t="shared" si="34"/>
        <v>436.23833844962525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42</v>
      </c>
      <c r="W33" s="17">
        <f>IF(ISNA(VLOOKUP(A33,'Données projet'!$A$35:$I$55,5,0)),0%,VLOOKUP(A33,'Données projet'!$A$35:$I$55,5,0)*VLOOKUP('Données projet'!$B$9,Paramètres!$A$1:$I$89,7,0))</f>
        <v>0.22000000000000003</v>
      </c>
      <c r="X33" s="17">
        <f>IF(ISNA(VLOOKUP(A33,'Données projet'!$A$35:$I$55,6,0)),0%,VLOOKUP(A33,'Données projet'!$A$35:$I$55,6,0)*VLOOKUP('Données projet'!$B$9,Paramètres!$A$1:$I$89,7,0))</f>
        <v>0.33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6.8519176626580958</v>
      </c>
      <c r="AA33" s="23">
        <f>EXP(-LN(2)/25)*AA32+(1-EXP(-LN(2)/25))/(LN(2)/25)*Calculateur!V33*Calculateur!X33*VLOOKUP('Données projet'!$B$9,Paramètres!$A$1:$I$89,3,0)*0.475*44/12</f>
        <v>15.188620691561262</v>
      </c>
      <c r="AB33" s="23">
        <f>EXP(-LN(2)/2)*AB32+(1-EXP(-LN(2)/2))/(LN(2)/2)*V33*Y33*VLOOKUP('Données projet'!$B$9,Paramètres!$A$1:$I$89,3,0)*0.475*44/12</f>
        <v>0</v>
      </c>
      <c r="AC33" s="24">
        <f t="shared" si="3"/>
        <v>22.040538354219358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132</v>
      </c>
      <c r="AG33" s="13">
        <f>VLOOKUP(A33,'Données projet'!$A$61:$I$81,9,0)</f>
        <v>9.6666666666666661</v>
      </c>
      <c r="AH33" s="13">
        <f t="array" ref="AH33">INDEX(AG:AG,MIN(IF(ISNUMBER(AG33:AG229),ROW(AG33:AG229),"")))</f>
        <v>9.6666666666666661</v>
      </c>
      <c r="AI33" s="14">
        <f>IF('Données projet'!$A$62&gt;35,AI32+AH33-AQ32,IF(A33&lt;'Données projet'!$A$62,$AF$205^A33,IF(A33='Données projet'!$A$62,'Données projet'!$B$62,AI32+AH33-AQ32)))</f>
        <v>132</v>
      </c>
      <c r="AJ33" s="14">
        <f>AI33*VLOOKUP('Données projet'!$B$10,Paramètres!$A$1:$I$89,3,0)*VLOOKUP('Données projet'!$B$10,Paramètres!$A$1:$I$89,5,0)</f>
        <v>78.936000000000007</v>
      </c>
      <c r="AK33" s="14">
        <f t="shared" si="35"/>
        <v>21.876828219051273</v>
      </c>
      <c r="AL33" s="22">
        <f t="shared" si="4"/>
        <v>175.5823424815143</v>
      </c>
      <c r="AM33" s="62">
        <f t="shared" si="5"/>
        <v>468.91567581484765</v>
      </c>
      <c r="AN33" s="62">
        <f ca="1">AVERAGE(OFFSET($AM$3,0,0,'Données projet'!$E$10+1,1))-AVERAGE(OFFSET($H$3,0,0,'Données projet'!$E$10+1,1))</f>
        <v>295.83974441964551</v>
      </c>
      <c r="AO33" s="62">
        <f t="shared" si="36"/>
        <v>212.24900914818096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13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0.45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9.5303554996553217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9.5303554996553217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2.1228070175438596</v>
      </c>
      <c r="BD33" s="13">
        <f>IF('Données projet'!$A$88&gt;35,BD32+BC33-BL32,IF(A33&lt;'Données projet'!$A$88,$BA$205^A33,IF(A33='Données projet'!$A$88,'Données projet'!$B$88,BD32+BC33-BL32)))</f>
        <v>63.684210526315837</v>
      </c>
      <c r="BE33" s="14">
        <f>BD33*VLOOKUP('Données projet'!$B$11,Paramètres!$A$1:$I$89,3,0)*VLOOKUP('Données projet'!$B$11,Paramètres!$A$1:$I$89,5,0)</f>
        <v>30.632105263157921</v>
      </c>
      <c r="BF33" s="14">
        <f t="shared" si="37"/>
        <v>9.4784631450542651</v>
      </c>
      <c r="BG33" s="22">
        <f t="shared" si="7"/>
        <v>69.859239977636221</v>
      </c>
      <c r="BH33" s="62">
        <f t="shared" si="8"/>
        <v>363.19257331096952</v>
      </c>
      <c r="BI33" s="62">
        <f ca="1">AVERAGE(OFFSET($BH$3,0,0,'Données projet'!$E$11+1,1))-AVERAGE(OFFSET($H$3,0,0,'Données projet'!$E$11+1,1))</f>
        <v>206.96327004330573</v>
      </c>
      <c r="BJ33" s="62">
        <f t="shared" si="38"/>
        <v>106.52590664430284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24.8</v>
      </c>
      <c r="N34" s="14">
        <f>IF('Données projet'!$A$36&gt;35,N33+M34-V33,IF(A34&lt;'Données projet'!$A$36,$K$205^A34,IF(A34='Données projet'!$A$36,'Données projet'!$B$36,N33+M34-V33)))</f>
        <v>310.80000000000007</v>
      </c>
      <c r="O34" s="14">
        <f>N34*VLOOKUP('Données projet'!$B$9,Paramètres!$A$1:$I$89,3,0)*VLOOKUP('Données projet'!$B$9,Paramètres!$A$1:$I$89,5,0)</f>
        <v>173.73720000000006</v>
      </c>
      <c r="P34" s="14">
        <f t="shared" si="33"/>
        <v>43.925969821948698</v>
      </c>
      <c r="Q34" s="22">
        <f t="shared" si="2"/>
        <v>379.09668743989408</v>
      </c>
      <c r="R34" s="62">
        <f t="shared" si="0"/>
        <v>672.4300207732274</v>
      </c>
      <c r="S34" s="62">
        <f ca="1">AVERAGE(OFFSET($R$3,0,0,'Données projet'!$E$9+1,1))-AVERAGE(OFFSET($H$3,0,0,'Données projet'!$E$9+1,1))</f>
        <v>365.70510182727895</v>
      </c>
      <c r="T34" s="62">
        <f t="shared" si="34"/>
        <v>436.23833844962525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6.7175557365504774</v>
      </c>
      <c r="AA34" s="23">
        <f>EXP(-LN(2)/25)*AA33+(1-EXP(-LN(2)/25))/(LN(2)/25)*Calculateur!V34*Calculateur!X34*VLOOKUP('Données projet'!$B$9,Paramètres!$A$1:$I$89,3,0)*0.475*44/12</f>
        <v>14.77328706001567</v>
      </c>
      <c r="AB34" s="23">
        <f>EXP(-LN(2)/2)*AB33+(1-EXP(-LN(2)/2))/(LN(2)/2)*V34*Y34*VLOOKUP('Données projet'!$B$9,Paramètres!$A$1:$I$89,3,0)*0.475*44/12</f>
        <v>0</v>
      </c>
      <c r="AC34" s="24">
        <f t="shared" si="3"/>
        <v>21.490842796566149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129</v>
      </c>
      <c r="AJ34" s="14">
        <f>AI34*VLOOKUP('Données projet'!$B$10,Paramètres!$A$1:$I$89,3,0)*VLOOKUP('Données projet'!$B$10,Paramètres!$A$1:$I$89,5,0)</f>
        <v>77.14200000000001</v>
      </c>
      <c r="AK34" s="14">
        <f t="shared" si="35"/>
        <v>21.436915648510755</v>
      </c>
      <c r="AL34" s="22">
        <f t="shared" si="4"/>
        <v>171.69161142115624</v>
      </c>
      <c r="AM34" s="62">
        <f t="shared" si="5"/>
        <v>465.02494475448952</v>
      </c>
      <c r="AN34" s="62">
        <f ca="1">AVERAGE(OFFSET($AM$3,0,0,'Données projet'!$E$10+1,1))-AVERAGE(OFFSET($H$3,0,0,'Données projet'!$E$10+1,1))</f>
        <v>295.83974441964551</v>
      </c>
      <c r="AO34" s="62">
        <f t="shared" si="36"/>
        <v>212.24900914818096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9.2697474273376326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9.2697474273376326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2.1228070175438596</v>
      </c>
      <c r="BD34" s="13">
        <f>IF('Données projet'!$A$88&gt;35,BD33+BC34-BL33,IF(A34&lt;'Données projet'!$A$88,$BA$205^A34,IF(A34='Données projet'!$A$88,'Données projet'!$B$88,BD33+BC34-BL33)))</f>
        <v>65.8070175438597</v>
      </c>
      <c r="BE34" s="14">
        <f>BD34*VLOOKUP('Données projet'!$B$11,Paramètres!$A$1:$I$89,3,0)*VLOOKUP('Données projet'!$B$11,Paramètres!$A$1:$I$89,5,0)</f>
        <v>31.653175438596516</v>
      </c>
      <c r="BF34" s="14">
        <f t="shared" si="37"/>
        <v>9.7571004873215674</v>
      </c>
      <c r="BG34" s="22">
        <f t="shared" si="7"/>
        <v>72.122897237640657</v>
      </c>
      <c r="BH34" s="62">
        <f t="shared" si="8"/>
        <v>365.45623057097396</v>
      </c>
      <c r="BI34" s="62">
        <f ca="1">AVERAGE(OFFSET($BH$3,0,0,'Données projet'!$E$11+1,1))-AVERAGE(OFFSET($H$3,0,0,'Données projet'!$E$11+1,1))</f>
        <v>206.96327004330573</v>
      </c>
      <c r="BJ34" s="62">
        <f t="shared" si="38"/>
        <v>106.52590664430284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24.8</v>
      </c>
      <c r="N35" s="14">
        <f>IF('Données projet'!$A$36&gt;35,N34+M35-V34,IF(A35&lt;'Données projet'!$A$36,$K$205^A35,IF(A35='Données projet'!$A$36,'Données projet'!$B$36,N34+M35-V34)))</f>
        <v>335.60000000000008</v>
      </c>
      <c r="O35" s="14">
        <f>N35*VLOOKUP('Données projet'!$B$9,Paramètres!$A$1:$I$89,3,0)*VLOOKUP('Données projet'!$B$9,Paramètres!$A$1:$I$89,5,0)</f>
        <v>187.60040000000004</v>
      </c>
      <c r="P35" s="14">
        <f t="shared" si="33"/>
        <v>47.009043567098132</v>
      </c>
      <c r="Q35" s="22">
        <f t="shared" ref="Q35:Q66" si="53">(O35+P35)*0.475*44/12</f>
        <v>408.6114475460293</v>
      </c>
      <c r="R35" s="62">
        <f t="shared" si="0"/>
        <v>701.94478087936261</v>
      </c>
      <c r="S35" s="62">
        <f ca="1">AVERAGE(OFFSET($R$3,0,0,'Données projet'!$E$9+1,1))-AVERAGE(OFFSET($H$3,0,0,'Données projet'!$E$9+1,1))</f>
        <v>365.70510182727895</v>
      </c>
      <c r="T35" s="62">
        <f t="shared" si="34"/>
        <v>436.23833844962525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6.5858285658611466</v>
      </c>
      <c r="AA35" s="23">
        <f>EXP(-LN(2)/25)*AA34+(1-EXP(-LN(2)/25))/(LN(2)/25)*Calculateur!V35*Calculateur!X35*VLOOKUP('Données projet'!$B$9,Paramètres!$A$1:$I$89,3,0)*0.475*44/12</f>
        <v>14.369310748466141</v>
      </c>
      <c r="AB35" s="23">
        <f>EXP(-LN(2)/2)*AB34+(1-EXP(-LN(2)/2))/(LN(2)/2)*V35*Y35*VLOOKUP('Données projet'!$B$9,Paramètres!$A$1:$I$89,3,0)*0.475*44/12</f>
        <v>0</v>
      </c>
      <c r="AC35" s="24">
        <f t="shared" si="3"/>
        <v>20.955139314327287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139</v>
      </c>
      <c r="AJ35" s="14">
        <f>AI35*VLOOKUP('Données projet'!$B$10,Paramètres!$A$1:$I$89,3,0)*VLOOKUP('Données projet'!$B$10,Paramètres!$A$1:$I$89,5,0)</f>
        <v>83.122000000000014</v>
      </c>
      <c r="AK35" s="14">
        <f t="shared" si="35"/>
        <v>22.898820278178533</v>
      </c>
      <c r="AL35" s="22">
        <f t="shared" si="4"/>
        <v>184.65292865116098</v>
      </c>
      <c r="AM35" s="62">
        <f t="shared" si="5"/>
        <v>477.98626198449426</v>
      </c>
      <c r="AN35" s="62">
        <f ca="1">AVERAGE(OFFSET($AM$3,0,0,'Données projet'!$E$10+1,1))-AVERAGE(OFFSET($H$3,0,0,'Données projet'!$E$10+1,1))</f>
        <v>295.83974441964551</v>
      </c>
      <c r="AO35" s="62">
        <f t="shared" si="36"/>
        <v>212.24900914818096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9.0162656964622538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9.0162656964622538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2.1228070175438596</v>
      </c>
      <c r="BD35" s="13">
        <f>IF('Données projet'!$A$88&gt;35,BD34+BC35-BL34,IF(A35&lt;'Données projet'!$A$88,$BA$205^A35,IF(A35='Données projet'!$A$88,'Données projet'!$B$88,BD34+BC35-BL34)))</f>
        <v>67.929824561403564</v>
      </c>
      <c r="BE35" s="14">
        <f>BD35*VLOOKUP('Données projet'!$B$11,Paramètres!$A$1:$I$89,3,0)*VLOOKUP('Données projet'!$B$11,Paramètres!$A$1:$I$89,5,0)</f>
        <v>32.674245614035115</v>
      </c>
      <c r="BF35" s="14">
        <f t="shared" si="37"/>
        <v>10.034693361708346</v>
      </c>
      <c r="BG35" s="22">
        <f t="shared" si="7"/>
        <v>74.384735382753192</v>
      </c>
      <c r="BH35" s="62">
        <f t="shared" si="8"/>
        <v>367.71806871608652</v>
      </c>
      <c r="BI35" s="62">
        <f ca="1">AVERAGE(OFFSET($BH$3,0,0,'Données projet'!$E$11+1,1))-AVERAGE(OFFSET($H$3,0,0,'Données projet'!$E$11+1,1))</f>
        <v>206.96327004330573</v>
      </c>
      <c r="BJ35" s="62">
        <f t="shared" si="38"/>
        <v>106.52590664430284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24.8</v>
      </c>
      <c r="N36" s="14">
        <f>IF('Données projet'!$A$36&gt;35,N35+M36-V35,IF(A36&lt;'Données projet'!$A$36,$K$205^A36,IF(A36='Données projet'!$A$36,'Données projet'!$B$36,N35+M36-V35)))</f>
        <v>360.40000000000009</v>
      </c>
      <c r="O36" s="14">
        <f>N36*VLOOKUP('Données projet'!$B$9,Paramètres!$A$1:$I$89,3,0)*VLOOKUP('Données projet'!$B$9,Paramètres!$A$1:$I$89,5,0)</f>
        <v>201.46360000000004</v>
      </c>
      <c r="P36" s="14">
        <f t="shared" si="33"/>
        <v>50.065686082954073</v>
      </c>
      <c r="Q36" s="22">
        <f t="shared" si="53"/>
        <v>438.08017326114509</v>
      </c>
      <c r="R36" s="62">
        <f t="shared" si="0"/>
        <v>731.41350659447835</v>
      </c>
      <c r="S36" s="62">
        <f ca="1">AVERAGE(OFFSET($R$3,0,0,'Données projet'!$E$9+1,1))-AVERAGE(OFFSET($H$3,0,0,'Données projet'!$E$9+1,1))</f>
        <v>365.70510182727895</v>
      </c>
      <c r="T36" s="62">
        <f t="shared" si="34"/>
        <v>436.23833844962525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6.4566844846433931</v>
      </c>
      <c r="AA36" s="23">
        <f>EXP(-LN(2)/25)*AA35+(1-EXP(-LN(2)/25))/(LN(2)/25)*Calculateur!V36*Calculateur!X36*VLOOKUP('Données projet'!$B$9,Paramètres!$A$1:$I$89,3,0)*0.475*44/12</f>
        <v>13.976381190400124</v>
      </c>
      <c r="AB36" s="23">
        <f>EXP(-LN(2)/2)*AB35+(1-EXP(-LN(2)/2))/(LN(2)/2)*V36*Y36*VLOOKUP('Données projet'!$B$9,Paramètres!$A$1:$I$89,3,0)*0.475*44/12</f>
        <v>0</v>
      </c>
      <c r="AC36" s="24">
        <f t="shared" si="3"/>
        <v>20.433065675043515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149</v>
      </c>
      <c r="AJ36" s="14">
        <f>AI36*VLOOKUP('Données projet'!$B$10,Paramètres!$A$1:$I$89,3,0)*VLOOKUP('Données projet'!$B$10,Paramètres!$A$1:$I$89,5,0)</f>
        <v>89.102000000000018</v>
      </c>
      <c r="AK36" s="14">
        <f t="shared" si="35"/>
        <v>24.348522781128082</v>
      </c>
      <c r="AL36" s="22">
        <f t="shared" si="4"/>
        <v>197.5929938437981</v>
      </c>
      <c r="AM36" s="62">
        <f t="shared" si="5"/>
        <v>490.92632717713138</v>
      </c>
      <c r="AN36" s="62">
        <f ca="1">AVERAGE(OFFSET($AM$3,0,0,'Données projet'!$E$10+1,1))-AVERAGE(OFFSET($H$3,0,0,'Données projet'!$E$10+1,1))</f>
        <v>295.83974441964551</v>
      </c>
      <c r="AO36" s="62">
        <f t="shared" si="36"/>
        <v>212.24900914818096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8.7697154368476866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8.7697154368476866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2.1228070175438596</v>
      </c>
      <c r="BD36" s="13">
        <f>IF('Données projet'!$A$88&gt;35,BD35+BC36-BL35,IF(A36&lt;'Données projet'!$A$88,$BA$205^A36,IF(A36='Données projet'!$A$88,'Données projet'!$B$88,BD35+BC36-BL35)))</f>
        <v>70.052631578947427</v>
      </c>
      <c r="BE36" s="14">
        <f>BD36*VLOOKUP('Données projet'!$B$11,Paramètres!$A$1:$I$89,3,0)*VLOOKUP('Données projet'!$B$11,Paramètres!$A$1:$I$89,5,0)</f>
        <v>33.69531578947371</v>
      </c>
      <c r="BF36" s="14">
        <f t="shared" si="37"/>
        <v>10.31127815291117</v>
      </c>
      <c r="BG36" s="22">
        <f t="shared" si="7"/>
        <v>76.644817782987005</v>
      </c>
      <c r="BH36" s="62">
        <f t="shared" si="8"/>
        <v>369.9781511163203</v>
      </c>
      <c r="BI36" s="62">
        <f ca="1">AVERAGE(OFFSET($BH$3,0,0,'Données projet'!$E$11+1,1))-AVERAGE(OFFSET($H$3,0,0,'Données projet'!$E$11+1,1))</f>
        <v>206.96327004330573</v>
      </c>
      <c r="BJ36" s="62">
        <f t="shared" si="38"/>
        <v>106.52590664430284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24.8</v>
      </c>
      <c r="N37" s="14">
        <f>IF('Données projet'!$A$36&gt;35,N36+M37-V36,IF(A37&lt;'Données projet'!$A$36,$K$205^A37,IF(A37='Données projet'!$A$36,'Données projet'!$B$36,N36+M37-V36)))</f>
        <v>385.2000000000001</v>
      </c>
      <c r="O37" s="14">
        <f>N37*VLOOKUP('Données projet'!$B$9,Paramètres!$A$1:$I$89,3,0)*VLOOKUP('Données projet'!$B$9,Paramètres!$A$1:$I$89,5,0)</f>
        <v>215.32680000000008</v>
      </c>
      <c r="P37" s="14">
        <f t="shared" si="33"/>
        <v>53.097923071509783</v>
      </c>
      <c r="Q37" s="22">
        <f t="shared" si="53"/>
        <v>467.50639268287961</v>
      </c>
      <c r="R37" s="62">
        <f t="shared" si="0"/>
        <v>760.83972601621292</v>
      </c>
      <c r="S37" s="62">
        <f ca="1">AVERAGE(OFFSET($R$3,0,0,'Données projet'!$E$9+1,1))-AVERAGE(OFFSET($H$3,0,0,'Données projet'!$E$9+1,1))</f>
        <v>365.70510182727895</v>
      </c>
      <c r="T37" s="62">
        <f t="shared" si="34"/>
        <v>436.23833844962525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6.3300728400882083</v>
      </c>
      <c r="AA37" s="23">
        <f>EXP(-LN(2)/25)*AA36+(1-EXP(-LN(2)/25))/(LN(2)/25)*Calculateur!V37*Calculateur!X37*VLOOKUP('Données projet'!$B$9,Paramètres!$A$1:$I$89,3,0)*0.475*44/12</f>
        <v>13.594196311762689</v>
      </c>
      <c r="AB37" s="23">
        <f>EXP(-LN(2)/2)*AB36+(1-EXP(-LN(2)/2))/(LN(2)/2)*V37*Y37*VLOOKUP('Données projet'!$B$9,Paramètres!$A$1:$I$89,3,0)*0.475*44/12</f>
        <v>0</v>
      </c>
      <c r="AC37" s="24">
        <f t="shared" si="3"/>
        <v>19.924269151850897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159</v>
      </c>
      <c r="AJ37" s="14">
        <f>AI37*VLOOKUP('Données projet'!$B$10,Paramètres!$A$1:$I$89,3,0)*VLOOKUP('Données projet'!$B$10,Paramètres!$A$1:$I$89,5,0)</f>
        <v>95.082000000000008</v>
      </c>
      <c r="AK37" s="14">
        <f t="shared" si="35"/>
        <v>25.786935269387122</v>
      </c>
      <c r="AL37" s="22">
        <f t="shared" si="4"/>
        <v>210.51339559418258</v>
      </c>
      <c r="AM37" s="62">
        <f t="shared" si="5"/>
        <v>503.84672892751587</v>
      </c>
      <c r="AN37" s="62">
        <f ca="1">AVERAGE(OFFSET($AM$3,0,0,'Données projet'!$E$10+1,1))-AVERAGE(OFFSET($H$3,0,0,'Données projet'!$E$10+1,1))</f>
        <v>295.83974441964551</v>
      </c>
      <c r="AO37" s="62">
        <f t="shared" si="36"/>
        <v>212.24900914818096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8.5299071070477961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8.5299071070477961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2.1228070175438596</v>
      </c>
      <c r="BD37" s="13">
        <f>IF('Données projet'!$A$88&gt;35,BD36+BC37-BL36,IF(A37&lt;'Données projet'!$A$88,$BA$205^A37,IF(A37='Données projet'!$A$88,'Données projet'!$B$88,BD36+BC37-BL36)))</f>
        <v>72.17543859649129</v>
      </c>
      <c r="BE37" s="14">
        <f>BD37*VLOOKUP('Données projet'!$B$11,Paramètres!$A$1:$I$89,3,0)*VLOOKUP('Données projet'!$B$11,Paramètres!$A$1:$I$89,5,0)</f>
        <v>34.716385964912313</v>
      </c>
      <c r="BF37" s="14">
        <f t="shared" si="37"/>
        <v>10.586888915184192</v>
      </c>
      <c r="BG37" s="22">
        <f t="shared" si="7"/>
        <v>78.903203749501401</v>
      </c>
      <c r="BH37" s="62">
        <f t="shared" si="8"/>
        <v>372.23653708283473</v>
      </c>
      <c r="BI37" s="62">
        <f ca="1">AVERAGE(OFFSET($BH$3,0,0,'Données projet'!$E$11+1,1))-AVERAGE(OFFSET($H$3,0,0,'Données projet'!$E$11+1,1))</f>
        <v>206.96327004330573</v>
      </c>
      <c r="BJ37" s="62">
        <f t="shared" si="38"/>
        <v>106.52590664430284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410</v>
      </c>
      <c r="L38" s="13">
        <f>VLOOKUP(A38,'Données projet'!$A$35:$I$55,9,0)</f>
        <v>24.8</v>
      </c>
      <c r="M38" s="13">
        <f t="array" ref="M38">INDEX(L:L,MIN(IF(ISNUMBER(L38:L234),ROW(L38:L234),"")))</f>
        <v>24.8</v>
      </c>
      <c r="N38" s="14">
        <f>IF('Données projet'!$A$36&gt;35,N37+M38-V37,IF(A38&lt;'Données projet'!$A$36,$K$205^A38,IF(A38='Données projet'!$A$36,'Données projet'!$B$36,N37+M38-V37)))</f>
        <v>410.00000000000011</v>
      </c>
      <c r="O38" s="14">
        <f>N38*VLOOKUP('Données projet'!$B$9,Paramètres!$A$1:$I$89,3,0)*VLOOKUP('Données projet'!$B$9,Paramètres!$A$1:$I$89,5,0)</f>
        <v>229.19000000000005</v>
      </c>
      <c r="P38" s="14">
        <f t="shared" si="33"/>
        <v>56.107504648403449</v>
      </c>
      <c r="Q38" s="22">
        <f t="shared" si="53"/>
        <v>496.89315392930274</v>
      </c>
      <c r="R38" s="62">
        <f t="shared" si="0"/>
        <v>790.22648726263606</v>
      </c>
      <c r="S38" s="62">
        <f ca="1">AVERAGE(OFFSET($R$3,0,0,'Données projet'!$E$9+1,1))-AVERAGE(OFFSET($H$3,0,0,'Données projet'!$E$9+1,1))</f>
        <v>365.70510182727895</v>
      </c>
      <c r="T38" s="62">
        <f t="shared" si="34"/>
        <v>436.23833844962525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49</v>
      </c>
      <c r="W38" s="17">
        <f>IF(ISNA(VLOOKUP(A38,'Données projet'!$A$35:$I$55,5,0)),0%,VLOOKUP(A38,'Données projet'!$A$35:$I$55,5,0)*VLOOKUP('Données projet'!$B$9,Paramètres!$A$1:$I$89,7,0))</f>
        <v>0.33</v>
      </c>
      <c r="X38" s="17">
        <f>IF(ISNA(VLOOKUP(A38,'Données projet'!$A$35:$I$55,6,0)),0%,VLOOKUP(A38,'Données projet'!$A$35:$I$55,6,0)*VLOOKUP('Données projet'!$B$9,Paramètres!$A$1:$I$89,7,0))</f>
        <v>0.22000000000000003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18.196799882308937</v>
      </c>
      <c r="AA38" s="23">
        <f>EXP(-LN(2)/25)*AA37+(1-EXP(-LN(2)/25))/(LN(2)/25)*Calculateur!V38*Calculateur!X38*VLOOKUP('Données projet'!$B$9,Paramètres!$A$1:$I$89,3,0)*0.475*44/12</f>
        <v>21.184891192770539</v>
      </c>
      <c r="AB38" s="23">
        <f>EXP(-LN(2)/2)*AB37+(1-EXP(-LN(2)/2))/(LN(2)/2)*V38*Y38*VLOOKUP('Données projet'!$B$9,Paramètres!$A$1:$I$89,3,0)*0.475*44/12</f>
        <v>0</v>
      </c>
      <c r="AC38" s="24">
        <f t="shared" si="3"/>
        <v>39.381691075079473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169</v>
      </c>
      <c r="AG38" s="13">
        <f>VLOOKUP(A38,'Données projet'!$A$61:$I$81,9,0)</f>
        <v>10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169</v>
      </c>
      <c r="AJ38" s="14">
        <f>AI38*VLOOKUP('Données projet'!$B$10,Paramètres!$A$1:$I$89,3,0)*VLOOKUP('Données projet'!$B$10,Paramètres!$A$1:$I$89,5,0)</f>
        <v>101.06200000000001</v>
      </c>
      <c r="AK38" s="14">
        <f t="shared" si="35"/>
        <v>27.214848638810562</v>
      </c>
      <c r="AL38" s="22">
        <f t="shared" si="4"/>
        <v>223.41551137926174</v>
      </c>
      <c r="AM38" s="62">
        <f t="shared" si="5"/>
        <v>516.74884471259509</v>
      </c>
      <c r="AN38" s="62">
        <f ca="1">AVERAGE(OFFSET($AM$3,0,0,'Données projet'!$E$10+1,1))-AVERAGE(OFFSET($H$3,0,0,'Données projet'!$E$10+1,1))</f>
        <v>295.83974441964551</v>
      </c>
      <c r="AO38" s="62">
        <f t="shared" si="36"/>
        <v>212.24900914818096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23</v>
      </c>
      <c r="AR38" s="17">
        <f>IF(ISNA(VLOOKUP(A38,'Données projet'!$A$61:$I$81,5,0)),0%,VLOOKUP(A38,'Données projet'!$A$61:$I$81,5,0)*VLOOKUP('Données projet'!$B$10,Paramètres!$A$1:$I$89,7,0))</f>
        <v>0.18000000000000002</v>
      </c>
      <c r="AS38" s="17">
        <f>IF(ISNA(VLOOKUP(A38,'Données projet'!$A$61:$I$81,6,0)),0%,VLOOKUP(A38,'Données projet'!$A$61:$I$81,6,0)*VLOOKUP('Données projet'!$B$10,Paramètres!$A$1:$I$89,7,0))</f>
        <v>0.27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3.2842021536207788</v>
      </c>
      <c r="AV38" s="23">
        <f>EXP(-LN(2)/25)*AV37+(1-EXP(-LN(2)/25))/(LN(2)/25)*Calculateur!AQ38*Calculateur!AS38*VLOOKUP('Données projet'!$B$10,Paramètres!$A$1:$I$89,3,0)*0.475*44/12</f>
        <v>13.203562846181525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16.487764999802302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2.1228070175438596</v>
      </c>
      <c r="BD38" s="13">
        <f>IF('Données projet'!$A$88&gt;35,BD37+BC38-BL37,IF(A38&lt;'Données projet'!$A$88,$BA$205^A38,IF(A38='Données projet'!$A$88,'Données projet'!$B$88,BD37+BC38-BL37)))</f>
        <v>74.298245614035153</v>
      </c>
      <c r="BE38" s="14">
        <f>BD38*VLOOKUP('Données projet'!$B$11,Paramètres!$A$1:$I$89,3,0)*VLOOKUP('Données projet'!$B$11,Paramètres!$A$1:$I$89,5,0)</f>
        <v>35.737456140350908</v>
      </c>
      <c r="BF38" s="14">
        <f t="shared" si="37"/>
        <v>10.861557585704455</v>
      </c>
      <c r="BG38" s="22">
        <f t="shared" si="7"/>
        <v>81.159948906213074</v>
      </c>
      <c r="BH38" s="62">
        <f t="shared" si="8"/>
        <v>374.49328223954637</v>
      </c>
      <c r="BI38" s="62">
        <f ca="1">AVERAGE(OFFSET($BH$3,0,0,'Données projet'!$E$11+1,1))-AVERAGE(OFFSET($H$3,0,0,'Données projet'!$E$11+1,1))</f>
        <v>206.96327004330573</v>
      </c>
      <c r="BJ38" s="62">
        <f t="shared" si="38"/>
        <v>106.52590664430284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24</v>
      </c>
      <c r="N39" s="14">
        <f>IF('Données projet'!$A$36&gt;35,N38+M39-V38,IF(A39&lt;'Données projet'!$A$36,$K$205^A39,IF(A39='Données projet'!$A$36,'Données projet'!$B$36,N38+M39-V38)))</f>
        <v>385.00000000000011</v>
      </c>
      <c r="O39" s="14">
        <f>N39*VLOOKUP('Données projet'!$B$9,Paramètres!$A$1:$I$89,3,0)*VLOOKUP('Données projet'!$B$9,Paramètres!$A$1:$I$89,5,0)</f>
        <v>215.21500000000006</v>
      </c>
      <c r="P39" s="14">
        <f t="shared" si="33"/>
        <v>53.07356235351866</v>
      </c>
      <c r="Q39" s="22">
        <f t="shared" si="53"/>
        <v>467.26924609904512</v>
      </c>
      <c r="R39" s="62">
        <f t="shared" si="0"/>
        <v>760.60257943237843</v>
      </c>
      <c r="S39" s="62">
        <f ca="1">AVERAGE(OFFSET($R$3,0,0,'Données projet'!$E$9+1,1))-AVERAGE(OFFSET($H$3,0,0,'Données projet'!$E$9+1,1))</f>
        <v>365.70510182727895</v>
      </c>
      <c r="T39" s="62">
        <f t="shared" si="34"/>
        <v>436.23833844962525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17.839971735568856</v>
      </c>
      <c r="AA39" s="23">
        <f>EXP(-LN(2)/25)*AA38+(1-EXP(-LN(2)/25))/(LN(2)/25)*Calculateur!V39*Calculateur!X39*VLOOKUP('Données projet'!$B$9,Paramètres!$A$1:$I$89,3,0)*0.475*44/12</f>
        <v>20.605589229039222</v>
      </c>
      <c r="AB39" s="23">
        <f>EXP(-LN(2)/2)*AB38+(1-EXP(-LN(2)/2))/(LN(2)/2)*V39*Y39*VLOOKUP('Données projet'!$B$9,Paramètres!$A$1:$I$89,3,0)*0.475*44/12</f>
        <v>0</v>
      </c>
      <c r="AC39" s="24">
        <f t="shared" si="3"/>
        <v>38.445560964608077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12.4</v>
      </c>
      <c r="AI39" s="14">
        <f>IF('Données projet'!$A$62&gt;35,AI38+AH39-AQ38,IF(A39&lt;'Données projet'!$A$62,$AF$205^A39,IF(A39='Données projet'!$A$62,'Données projet'!$B$62,AI38+AH39-AQ38)))</f>
        <v>158.4</v>
      </c>
      <c r="AJ39" s="14">
        <f>AI39*VLOOKUP('Données projet'!$B$10,Paramètres!$A$1:$I$89,3,0)*VLOOKUP('Données projet'!$B$10,Paramètres!$A$1:$I$89,5,0)</f>
        <v>94.723200000000006</v>
      </c>
      <c r="AK39" s="14">
        <f t="shared" si="35"/>
        <v>25.700933959119112</v>
      </c>
      <c r="AL39" s="22">
        <f t="shared" si="4"/>
        <v>209.7386999787991</v>
      </c>
      <c r="AM39" s="62">
        <f t="shared" si="5"/>
        <v>503.07203331213242</v>
      </c>
      <c r="AN39" s="62">
        <f ca="1">AVERAGE(OFFSET($AM$3,0,0,'Données projet'!$E$10+1,1))-AVERAGE(OFFSET($H$3,0,0,'Données projet'!$E$10+1,1))</f>
        <v>295.83974441964551</v>
      </c>
      <c r="AO39" s="62">
        <f t="shared" si="36"/>
        <v>212.24900914818096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3.2198009525537929</v>
      </c>
      <c r="AV39" s="23">
        <f>EXP(-LN(2)/25)*AV38+(1-EXP(-LN(2)/25))/(LN(2)/25)*Calculateur!AQ39*Calculateur!AS39*VLOOKUP('Données projet'!$B$10,Paramètres!$A$1:$I$89,3,0)*0.475*44/12</f>
        <v>12.842510725807498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16.06231167836129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2.1228070175438596</v>
      </c>
      <c r="BD39" s="13">
        <f>IF('Données projet'!$A$88&gt;35,BD38+BC39-BL38,IF(A39&lt;'Données projet'!$A$88,$BA$205^A39,IF(A39='Données projet'!$A$88,'Données projet'!$B$88,BD38+BC39-BL38)))</f>
        <v>76.421052631579016</v>
      </c>
      <c r="BE39" s="14">
        <f>BD39*VLOOKUP('Données projet'!$B$11,Paramètres!$A$1:$I$89,3,0)*VLOOKUP('Données projet'!$B$11,Paramètres!$A$1:$I$89,5,0)</f>
        <v>36.758526315789503</v>
      </c>
      <c r="BF39" s="14">
        <f t="shared" si="37"/>
        <v>11.135314172867263</v>
      </c>
      <c r="BG39" s="22">
        <f t="shared" si="7"/>
        <v>83.415105517743854</v>
      </c>
      <c r="BH39" s="62">
        <f t="shared" si="8"/>
        <v>376.74843885107714</v>
      </c>
      <c r="BI39" s="62">
        <f ca="1">AVERAGE(OFFSET($BH$3,0,0,'Données projet'!$E$11+1,1))-AVERAGE(OFFSET($H$3,0,0,'Données projet'!$E$11+1,1))</f>
        <v>206.96327004330573</v>
      </c>
      <c r="BJ39" s="62">
        <f t="shared" si="38"/>
        <v>106.52590664430284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24</v>
      </c>
      <c r="N40" s="14">
        <f>IF('Données projet'!$A$36&gt;35,N39+M40-V39,IF(A40&lt;'Données projet'!$A$36,$K$205^A40,IF(A40='Données projet'!$A$36,'Données projet'!$B$36,N39+M40-V39)))</f>
        <v>409.00000000000011</v>
      </c>
      <c r="O40" s="14">
        <f>N40*VLOOKUP('Données projet'!$B$9,Paramètres!$A$1:$I$89,3,0)*VLOOKUP('Données projet'!$B$9,Paramètres!$A$1:$I$89,5,0)</f>
        <v>228.63100000000006</v>
      </c>
      <c r="P40" s="14">
        <f t="shared" si="33"/>
        <v>55.986568953377507</v>
      </c>
      <c r="Q40" s="22">
        <f t="shared" si="53"/>
        <v>495.70893259379926</v>
      </c>
      <c r="R40" s="62">
        <f t="shared" si="0"/>
        <v>789.04226592713258</v>
      </c>
      <c r="S40" s="62">
        <f ca="1">AVERAGE(OFFSET($R$3,0,0,'Données projet'!$E$9+1,1))-AVERAGE(OFFSET($H$3,0,0,'Données projet'!$E$9+1,1))</f>
        <v>365.70510182727895</v>
      </c>
      <c r="T40" s="62">
        <f t="shared" si="34"/>
        <v>436.23833844962525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17.49014077114267</v>
      </c>
      <c r="AA40" s="23">
        <f>EXP(-LN(2)/25)*AA39+(1-EXP(-LN(2)/25))/(LN(2)/25)*Calculateur!V40*Calculateur!X40*VLOOKUP('Données projet'!$B$9,Paramètres!$A$1:$I$89,3,0)*0.475*44/12</f>
        <v>20.042128307970302</v>
      </c>
      <c r="AB40" s="23">
        <f>EXP(-LN(2)/2)*AB39+(1-EXP(-LN(2)/2))/(LN(2)/2)*V40*Y40*VLOOKUP('Données projet'!$B$9,Paramètres!$A$1:$I$89,3,0)*0.475*44/12</f>
        <v>0</v>
      </c>
      <c r="AC40" s="24">
        <f t="shared" si="3"/>
        <v>37.532269079112972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12.4</v>
      </c>
      <c r="AI40" s="14">
        <f>IF('Données projet'!$A$62&gt;35,AI39+AH40-AQ39,IF(A40&lt;'Données projet'!$A$62,$AF$205^A40,IF(A40='Données projet'!$A$62,'Données projet'!$B$62,AI39+AH40-AQ39)))</f>
        <v>170.8</v>
      </c>
      <c r="AJ40" s="14">
        <f>AI40*VLOOKUP('Données projet'!$B$10,Paramètres!$A$1:$I$89,3,0)*VLOOKUP('Données projet'!$B$10,Paramètres!$A$1:$I$89,5,0)</f>
        <v>102.13840000000002</v>
      </c>
      <c r="AK40" s="14">
        <f t="shared" si="35"/>
        <v>27.470812821300004</v>
      </c>
      <c r="AL40" s="22">
        <f t="shared" si="4"/>
        <v>225.7360456637642</v>
      </c>
      <c r="AM40" s="62">
        <f t="shared" si="5"/>
        <v>519.06937899709749</v>
      </c>
      <c r="AN40" s="62">
        <f ca="1">AVERAGE(OFFSET($AM$3,0,0,'Données projet'!$E$10+1,1))-AVERAGE(OFFSET($H$3,0,0,'Données projet'!$E$10+1,1))</f>
        <v>295.83974441964551</v>
      </c>
      <c r="AO40" s="62">
        <f t="shared" si="36"/>
        <v>212.24900914818096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3.1566626197588765</v>
      </c>
      <c r="AV40" s="23">
        <f>EXP(-LN(2)/25)*AV39+(1-EXP(-LN(2)/25))/(LN(2)/25)*Calculateur!AQ40*Calculateur!AS40*VLOOKUP('Données projet'!$B$10,Paramètres!$A$1:$I$89,3,0)*0.475*44/12</f>
        <v>12.491331594652005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15.647994214410881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2.1228070175438596</v>
      </c>
      <c r="BD40" s="13">
        <f>IF('Données projet'!$A$88&gt;35,BD39+BC40-BL39,IF(A40&lt;'Données projet'!$A$88,$BA$205^A40,IF(A40='Données projet'!$A$88,'Données projet'!$B$88,BD39+BC40-BL39)))</f>
        <v>78.543859649122879</v>
      </c>
      <c r="BE40" s="14">
        <f>BD40*VLOOKUP('Données projet'!$B$11,Paramètres!$A$1:$I$89,3,0)*VLOOKUP('Données projet'!$B$11,Paramètres!$A$1:$I$89,5,0)</f>
        <v>37.779596491228105</v>
      </c>
      <c r="BF40" s="14">
        <f t="shared" si="37"/>
        <v>11.408186923071643</v>
      </c>
      <c r="BG40" s="22">
        <f t="shared" si="7"/>
        <v>85.668722779905366</v>
      </c>
      <c r="BH40" s="62">
        <f t="shared" si="8"/>
        <v>379.00205611323867</v>
      </c>
      <c r="BI40" s="62">
        <f ca="1">AVERAGE(OFFSET($BH$3,0,0,'Données projet'!$E$11+1,1))-AVERAGE(OFFSET($H$3,0,0,'Données projet'!$E$11+1,1))</f>
        <v>206.96327004330573</v>
      </c>
      <c r="BJ40" s="62">
        <f t="shared" si="38"/>
        <v>106.52590664430284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24</v>
      </c>
      <c r="N41" s="14">
        <f>IF('Données projet'!$A$36&gt;35,N40+M41-V40,IF(A41&lt;'Données projet'!$A$36,$K$205^A41,IF(A41='Données projet'!$A$36,'Données projet'!$B$36,N40+M41-V40)))</f>
        <v>433.00000000000011</v>
      </c>
      <c r="O41" s="14">
        <f>N41*VLOOKUP('Données projet'!$B$9,Paramètres!$A$1:$I$89,3,0)*VLOOKUP('Données projet'!$B$9,Paramètres!$A$1:$I$89,5,0)</f>
        <v>242.04700000000008</v>
      </c>
      <c r="P41" s="14">
        <f t="shared" si="33"/>
        <v>58.879734570359574</v>
      </c>
      <c r="Q41" s="22">
        <f t="shared" si="53"/>
        <v>524.11406271004307</v>
      </c>
      <c r="R41" s="62">
        <f t="shared" si="0"/>
        <v>817.44739604337633</v>
      </c>
      <c r="S41" s="62">
        <f ca="1">AVERAGE(OFFSET($R$3,0,0,'Données projet'!$E$9+1,1))-AVERAGE(OFFSET($H$3,0,0,'Données projet'!$E$9+1,1))</f>
        <v>365.70510182727895</v>
      </c>
      <c r="T41" s="62">
        <f t="shared" si="34"/>
        <v>436.23833844962525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17.14716977855306</v>
      </c>
      <c r="AA41" s="23">
        <f>EXP(-LN(2)/25)*AA40+(1-EXP(-LN(2)/25))/(LN(2)/25)*Calculateur!V41*Calculateur!X41*VLOOKUP('Données projet'!$B$9,Paramètres!$A$1:$I$89,3,0)*0.475*44/12</f>
        <v>19.494075255419133</v>
      </c>
      <c r="AB41" s="23">
        <f>EXP(-LN(2)/2)*AB40+(1-EXP(-LN(2)/2))/(LN(2)/2)*V41*Y41*VLOOKUP('Données projet'!$B$9,Paramètres!$A$1:$I$89,3,0)*0.475*44/12</f>
        <v>0</v>
      </c>
      <c r="AC41" s="24">
        <f t="shared" si="3"/>
        <v>36.641245033972197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12.4</v>
      </c>
      <c r="AI41" s="14">
        <f>IF('Données projet'!$A$62&gt;35,AI40+AH41-AQ40,IF(A41&lt;'Données projet'!$A$62,$AF$205^A41,IF(A41='Données projet'!$A$62,'Données projet'!$B$62,AI40+AH41-AQ40)))</f>
        <v>183.20000000000002</v>
      </c>
      <c r="AJ41" s="14">
        <f>AI41*VLOOKUP('Données projet'!$B$10,Paramètres!$A$1:$I$89,3,0)*VLOOKUP('Données projet'!$B$10,Paramètres!$A$1:$I$89,5,0)</f>
        <v>109.55360000000002</v>
      </c>
      <c r="AK41" s="14">
        <f t="shared" si="35"/>
        <v>29.225784372214765</v>
      </c>
      <c r="AL41" s="22">
        <f t="shared" si="4"/>
        <v>241.70742778160744</v>
      </c>
      <c r="AM41" s="62">
        <f t="shared" si="5"/>
        <v>535.04076111494078</v>
      </c>
      <c r="AN41" s="62">
        <f ca="1">AVERAGE(OFFSET($AM$3,0,0,'Données projet'!$E$10+1,1))-AVERAGE(OFFSET($H$3,0,0,'Données projet'!$E$10+1,1))</f>
        <v>295.83974441964551</v>
      </c>
      <c r="AO41" s="62">
        <f t="shared" si="36"/>
        <v>212.24900914818096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3.0947623911594881</v>
      </c>
      <c r="AV41" s="23">
        <f>EXP(-LN(2)/25)*AV40+(1-EXP(-LN(2)/25))/(LN(2)/25)*Calculateur!AQ41*Calculateur!AS41*VLOOKUP('Données projet'!$B$10,Paramètres!$A$1:$I$89,3,0)*0.475*44/12</f>
        <v>12.149755475305666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15.244517866465154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2.1228070175438596</v>
      </c>
      <c r="BD41" s="13">
        <f>IF('Données projet'!$A$88&gt;35,BD40+BC41-BL40,IF(A41&lt;'Données projet'!$A$88,$BA$205^A41,IF(A41='Données projet'!$A$88,'Données projet'!$B$88,BD40+BC41-BL40)))</f>
        <v>80.666666666666742</v>
      </c>
      <c r="BE41" s="14">
        <f>BD41*VLOOKUP('Données projet'!$B$11,Paramètres!$A$1:$I$89,3,0)*VLOOKUP('Données projet'!$B$11,Paramètres!$A$1:$I$89,5,0)</f>
        <v>38.800666666666707</v>
      </c>
      <c r="BF41" s="14">
        <f t="shared" si="37"/>
        <v>11.68020246896784</v>
      </c>
      <c r="BG41" s="22">
        <f t="shared" si="7"/>
        <v>87.920847077896838</v>
      </c>
      <c r="BH41" s="62">
        <f t="shared" si="8"/>
        <v>381.25418041123015</v>
      </c>
      <c r="BI41" s="62">
        <f ca="1">AVERAGE(OFFSET($BH$3,0,0,'Données projet'!$E$11+1,1))-AVERAGE(OFFSET($H$3,0,0,'Données projet'!$E$11+1,1))</f>
        <v>206.96327004330573</v>
      </c>
      <c r="BJ41" s="62">
        <f t="shared" si="38"/>
        <v>106.52590664430284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24</v>
      </c>
      <c r="N42" s="14">
        <f>IF('Données projet'!$A$36&gt;35,N41+M42-V41,IF(A42&lt;'Données projet'!$A$36,$K$205^A42,IF(A42='Données projet'!$A$36,'Données projet'!$B$36,N41+M42-V41)))</f>
        <v>457.00000000000011</v>
      </c>
      <c r="O42" s="14">
        <f>N42*VLOOKUP('Données projet'!$B$9,Paramètres!$A$1:$I$89,3,0)*VLOOKUP('Données projet'!$B$9,Paramètres!$A$1:$I$89,5,0)</f>
        <v>255.46300000000008</v>
      </c>
      <c r="P42" s="14">
        <f t="shared" si="33"/>
        <v>61.754284280703082</v>
      </c>
      <c r="Q42" s="22">
        <f t="shared" si="53"/>
        <v>552.48677012222458</v>
      </c>
      <c r="R42" s="62">
        <f t="shared" si="0"/>
        <v>845.82010345555796</v>
      </c>
      <c r="S42" s="62">
        <f ca="1">AVERAGE(OFFSET($R$3,0,0,'Données projet'!$E$9+1,1))-AVERAGE(OFFSET($H$3,0,0,'Données projet'!$E$9+1,1))</f>
        <v>365.70510182727895</v>
      </c>
      <c r="T42" s="62">
        <f t="shared" si="34"/>
        <v>436.23833844962525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16.810924237936483</v>
      </c>
      <c r="AA42" s="23">
        <f>EXP(-LN(2)/25)*AA41+(1-EXP(-LN(2)/25))/(LN(2)/25)*Calculateur!V42*Calculateur!X42*VLOOKUP('Données projet'!$B$9,Paramètres!$A$1:$I$89,3,0)*0.475*44/12</f>
        <v>18.961008742410833</v>
      </c>
      <c r="AB42" s="23">
        <f>EXP(-LN(2)/2)*AB41+(1-EXP(-LN(2)/2))/(LN(2)/2)*V42*Y42*VLOOKUP('Données projet'!$B$9,Paramètres!$A$1:$I$89,3,0)*0.475*44/12</f>
        <v>0</v>
      </c>
      <c r="AC42" s="24">
        <f t="shared" si="3"/>
        <v>35.771932980347316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12.4</v>
      </c>
      <c r="AI42" s="14">
        <f>IF('Données projet'!$A$62&gt;35,AI41+AH42-AQ41,IF(A42&lt;'Données projet'!$A$62,$AF$205^A42,IF(A42='Données projet'!$A$62,'Données projet'!$B$62,AI41+AH42-AQ41)))</f>
        <v>195.60000000000002</v>
      </c>
      <c r="AJ42" s="14">
        <f>AI42*VLOOKUP('Données projet'!$B$10,Paramètres!$A$1:$I$89,3,0)*VLOOKUP('Données projet'!$B$10,Paramètres!$A$1:$I$89,5,0)</f>
        <v>116.96880000000002</v>
      </c>
      <c r="AK42" s="14">
        <f t="shared" si="35"/>
        <v>30.966972418998537</v>
      </c>
      <c r="AL42" s="22">
        <f t="shared" si="4"/>
        <v>257.6548036297558</v>
      </c>
      <c r="AM42" s="62">
        <f t="shared" si="5"/>
        <v>550.98813696308912</v>
      </c>
      <c r="AN42" s="62">
        <f ca="1">AVERAGE(OFFSET($AM$3,0,0,'Données projet'!$E$10+1,1))-AVERAGE(OFFSET($H$3,0,0,'Données projet'!$E$10+1,1))</f>
        <v>295.83974441964551</v>
      </c>
      <c r="AO42" s="62">
        <f t="shared" si="36"/>
        <v>212.24900914818096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3.0340759882875221</v>
      </c>
      <c r="AV42" s="23">
        <f>EXP(-LN(2)/25)*AV41+(1-EXP(-LN(2)/25))/(LN(2)/25)*Calculateur!AQ42*Calculateur!AS42*VLOOKUP('Données projet'!$B$10,Paramètres!$A$1:$I$89,3,0)*0.475*44/12</f>
        <v>11.817519772905561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14.851595761193083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2.1228070175438596</v>
      </c>
      <c r="BD42" s="13">
        <f>IF('Données projet'!$A$88&gt;35,BD41+BC42-BL41,IF(A42&lt;'Données projet'!$A$88,$BA$205^A42,IF(A42='Données projet'!$A$88,'Données projet'!$B$88,BD41+BC42-BL41)))</f>
        <v>82.789473684210606</v>
      </c>
      <c r="BE42" s="14">
        <f>BD42*VLOOKUP('Données projet'!$B$11,Paramètres!$A$1:$I$89,3,0)*VLOOKUP('Données projet'!$B$11,Paramètres!$A$1:$I$89,5,0)</f>
        <v>39.821736842105302</v>
      </c>
      <c r="BF42" s="14">
        <f t="shared" si="37"/>
        <v>11.951385961660948</v>
      </c>
      <c r="BG42" s="22">
        <f t="shared" si="7"/>
        <v>90.171522216559552</v>
      </c>
      <c r="BH42" s="62">
        <f t="shared" si="8"/>
        <v>383.50485554989285</v>
      </c>
      <c r="BI42" s="62">
        <f ca="1">AVERAGE(OFFSET($BH$3,0,0,'Données projet'!$E$11+1,1))-AVERAGE(OFFSET($H$3,0,0,'Données projet'!$E$11+1,1))</f>
        <v>206.96327004330573</v>
      </c>
      <c r="BJ42" s="62">
        <f t="shared" si="38"/>
        <v>106.52590664430284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481</v>
      </c>
      <c r="L43" s="13">
        <f>VLOOKUP(A43,'Données projet'!$A$35:$I$55,9,0)</f>
        <v>24</v>
      </c>
      <c r="M43" s="13">
        <f t="array" ref="M43">INDEX(L:L,MIN(IF(ISNUMBER(L43:L239),ROW(L43:L239),"")))</f>
        <v>24</v>
      </c>
      <c r="N43" s="14">
        <f>IF('Données projet'!$A$36&gt;35,N42+M43-V42,IF(A43&lt;'Données projet'!$A$36,$K$205^A43,IF(A43='Données projet'!$A$36,'Données projet'!$B$36,N42+M43-V42)))</f>
        <v>481.00000000000011</v>
      </c>
      <c r="O43" s="14">
        <f>N43*VLOOKUP('Données projet'!$B$9,Paramètres!$A$1:$I$89,3,0)*VLOOKUP('Données projet'!$B$9,Paramètres!$A$1:$I$89,5,0)</f>
        <v>268.87900000000008</v>
      </c>
      <c r="P43" s="14">
        <f t="shared" si="33"/>
        <v>64.611307219969405</v>
      </c>
      <c r="Q43" s="22">
        <f t="shared" si="53"/>
        <v>580.82895174144687</v>
      </c>
      <c r="R43" s="62">
        <f t="shared" si="0"/>
        <v>874.16228507478013</v>
      </c>
      <c r="S43" s="62">
        <f ca="1">AVERAGE(OFFSET($R$3,0,0,'Données projet'!$E$9+1,1))-AVERAGE(OFFSET($H$3,0,0,'Données projet'!$E$9+1,1))</f>
        <v>365.70510182727895</v>
      </c>
      <c r="T43" s="62">
        <f t="shared" si="34"/>
        <v>436.23833844962525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58</v>
      </c>
      <c r="W43" s="17">
        <f>IF(ISNA(VLOOKUP(A43,'Données projet'!$A$35:$I$55,5,0)),0%,VLOOKUP(A43,'Données projet'!$A$35:$I$55,5,0)*VLOOKUP('Données projet'!$B$9,Paramètres!$A$1:$I$89,7,0))</f>
        <v>0.44000000000000006</v>
      </c>
      <c r="X43" s="17">
        <f>IF(ISNA(VLOOKUP(A43,'Données projet'!$A$35:$I$55,6,0)),0%,VLOOKUP(A43,'Données projet'!$A$35:$I$55,6,0)*VLOOKUP('Données projet'!$B$9,Paramètres!$A$1:$I$89,7,0))</f>
        <v>0.11000000000000001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35.405616287956612</v>
      </c>
      <c r="AA43" s="23">
        <f>EXP(-LN(2)/25)*AA42+(1-EXP(-LN(2)/25))/(LN(2)/25)*Calculateur!V43*Calculateur!X43*VLOOKUP('Données projet'!$B$9,Paramètres!$A$1:$I$89,3,0)*0.475*44/12</f>
        <v>23.154976878114738</v>
      </c>
      <c r="AB43" s="23">
        <f>EXP(-LN(2)/2)*AB42+(1-EXP(-LN(2)/2))/(LN(2)/2)*V43*Y43*VLOOKUP('Données projet'!$B$9,Paramètres!$A$1:$I$89,3,0)*0.475*44/12</f>
        <v>0</v>
      </c>
      <c r="AC43" s="24">
        <f t="shared" si="3"/>
        <v>58.560593166071349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208</v>
      </c>
      <c r="AG43" s="13">
        <f>VLOOKUP(A43,'Données projet'!$A$61:$I$81,9,0)</f>
        <v>12.4</v>
      </c>
      <c r="AH43" s="13">
        <f t="array" ref="AH43">INDEX(AG:AG,MIN(IF(ISNUMBER(AG43:AG239),ROW(AG43:AG239),"")))</f>
        <v>12.4</v>
      </c>
      <c r="AI43" s="14">
        <f>IF('Données projet'!$A$62&gt;35,AI42+AH43-AQ42,IF(A43&lt;'Données projet'!$A$62,$AF$205^A43,IF(A43='Données projet'!$A$62,'Données projet'!$B$62,AI42+AH43-AQ42)))</f>
        <v>208.00000000000003</v>
      </c>
      <c r="AJ43" s="14">
        <f>AI43*VLOOKUP('Données projet'!$B$10,Paramètres!$A$1:$I$89,3,0)*VLOOKUP('Données projet'!$B$10,Paramètres!$A$1:$I$89,5,0)</f>
        <v>124.38400000000003</v>
      </c>
      <c r="AK43" s="14">
        <f t="shared" si="35"/>
        <v>32.695350227217695</v>
      </c>
      <c r="AL43" s="22">
        <f t="shared" si="4"/>
        <v>273.57986831240419</v>
      </c>
      <c r="AM43" s="62">
        <f t="shared" si="5"/>
        <v>566.91320164573744</v>
      </c>
      <c r="AN43" s="62">
        <f ca="1">AVERAGE(OFFSET($AM$3,0,0,'Données projet'!$E$10+1,1))-AVERAGE(OFFSET($H$3,0,0,'Données projet'!$E$10+1,1))</f>
        <v>295.83974441964551</v>
      </c>
      <c r="AO43" s="62">
        <f t="shared" si="36"/>
        <v>212.24900914818096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34</v>
      </c>
      <c r="AR43" s="17">
        <f>IF(ISNA(VLOOKUP(A43,'Données projet'!$A$61:$I$81,5,0)),0%,VLOOKUP(A43,'Données projet'!$A$61:$I$81,5,0)*VLOOKUP('Données projet'!$B$10,Paramètres!$A$1:$I$89,7,0))</f>
        <v>0.27</v>
      </c>
      <c r="AS43" s="17">
        <f>IF(ISNA(VLOOKUP(A43,'Données projet'!$A$61:$I$81,6,0)),0%,VLOOKUP(A43,'Données projet'!$A$61:$I$81,6,0)*VLOOKUP('Données projet'!$B$10,Paramètres!$A$1:$I$89,7,0))</f>
        <v>0.18000000000000002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10.256940905919942</v>
      </c>
      <c r="AV43" s="23">
        <f>EXP(-LN(2)/25)*AV42+(1-EXP(-LN(2)/25))/(LN(2)/25)*Calculateur!AQ43*Calculateur!AS43*VLOOKUP('Données projet'!$B$10,Paramètres!$A$1:$I$89,3,0)*0.475*44/12</f>
        <v>16.330160983882443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26.587101889802383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2.1228070175438596</v>
      </c>
      <c r="BD43" s="13">
        <f>IF('Données projet'!$A$88&gt;35,BD42+BC43-BL42,IF(A43&lt;'Données projet'!$A$88,$BA$205^A43,IF(A43='Données projet'!$A$88,'Données projet'!$B$88,BD42+BC43-BL42)))</f>
        <v>84.912280701754469</v>
      </c>
      <c r="BE43" s="14">
        <f>BD43*VLOOKUP('Données projet'!$B$11,Paramètres!$A$1:$I$89,3,0)*VLOOKUP('Données projet'!$B$11,Paramètres!$A$1:$I$89,5,0)</f>
        <v>40.842807017543905</v>
      </c>
      <c r="BF43" s="14">
        <f t="shared" si="37"/>
        <v>12.221761188973545</v>
      </c>
      <c r="BG43" s="22">
        <f t="shared" si="7"/>
        <v>92.420789626351223</v>
      </c>
      <c r="BH43" s="62">
        <f t="shared" si="8"/>
        <v>385.75412295968454</v>
      </c>
      <c r="BI43" s="62">
        <f ca="1">AVERAGE(OFFSET($BH$3,0,0,'Données projet'!$E$11+1,1))-AVERAGE(OFFSET($H$3,0,0,'Données projet'!$E$11+1,1))</f>
        <v>206.96327004330573</v>
      </c>
      <c r="BJ43" s="62">
        <f t="shared" si="38"/>
        <v>106.52590664430284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20.6</v>
      </c>
      <c r="N44" s="14">
        <f>IF('Données projet'!$A$36&gt;35,N43+M44-V43,IF(A44&lt;'Données projet'!$A$36,$K$205^A44,IF(A44='Données projet'!$A$36,'Données projet'!$B$36,N43+M44-V43)))</f>
        <v>443.60000000000014</v>
      </c>
      <c r="O44" s="14">
        <f>N44*VLOOKUP('Données projet'!$B$9,Paramètres!$A$1:$I$89,3,0)*VLOOKUP('Données projet'!$B$9,Paramètres!$A$1:$I$89,5,0)</f>
        <v>247.97240000000008</v>
      </c>
      <c r="P44" s="14">
        <f t="shared" si="33"/>
        <v>60.151555263879217</v>
      </c>
      <c r="Q44" s="22">
        <f t="shared" si="53"/>
        <v>536.64922208458972</v>
      </c>
      <c r="R44" s="62">
        <f t="shared" si="0"/>
        <v>829.98255541792309</v>
      </c>
      <c r="S44" s="62">
        <f ca="1">AVERAGE(OFFSET($R$3,0,0,'Données projet'!$E$9+1,1))-AVERAGE(OFFSET($H$3,0,0,'Données projet'!$E$9+1,1))</f>
        <v>365.70510182727895</v>
      </c>
      <c r="T44" s="62">
        <f t="shared" si="34"/>
        <v>436.23833844962525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34.711333747843362</v>
      </c>
      <c r="AA44" s="23">
        <f>EXP(-LN(2)/25)*AA43+(1-EXP(-LN(2)/25))/(LN(2)/25)*Calculateur!V44*Calculateur!X44*VLOOKUP('Données projet'!$B$9,Paramètres!$A$1:$I$89,3,0)*0.475*44/12</f>
        <v>22.521802817715379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57.233136565558738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14.1</v>
      </c>
      <c r="AI44" s="14">
        <f>IF('Données projet'!$A$62&gt;35,AI43+AH44-AQ43,IF(A44&lt;'Données projet'!$A$62,$AF$205^A44,IF(A44='Données projet'!$A$62,'Données projet'!$B$62,AI43+AH44-AQ43)))</f>
        <v>188.10000000000002</v>
      </c>
      <c r="AJ44" s="14">
        <f>AI44*VLOOKUP('Données projet'!$B$10,Paramètres!$A$1:$I$89,3,0)*VLOOKUP('Données projet'!$B$10,Paramètres!$A$1:$I$89,5,0)</f>
        <v>112.48380000000002</v>
      </c>
      <c r="AK44" s="14">
        <f t="shared" si="35"/>
        <v>29.915424563902814</v>
      </c>
      <c r="AL44" s="22">
        <f t="shared" si="4"/>
        <v>248.01198278213079</v>
      </c>
      <c r="AM44" s="62">
        <f t="shared" si="5"/>
        <v>541.34531611546413</v>
      </c>
      <c r="AN44" s="62">
        <f ca="1">AVERAGE(OFFSET($AM$3,0,0,'Données projet'!$E$10+1,1))-AVERAGE(OFFSET($H$3,0,0,'Données projet'!$E$10+1,1))</f>
        <v>295.83974441964551</v>
      </c>
      <c r="AO44" s="62">
        <f t="shared" si="36"/>
        <v>212.24900914818096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10.055808550871065</v>
      </c>
      <c r="AV44" s="23">
        <f>EXP(-LN(2)/25)*AV43+(1-EXP(-LN(2)/25))/(LN(2)/25)*Calculateur!AQ44*Calculateur!AS44*VLOOKUP('Données projet'!$B$10,Paramètres!$A$1:$I$89,3,0)*0.475*44/12</f>
        <v>15.883611873012335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25.939420423883398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2.1228070175438596</v>
      </c>
      <c r="BD44" s="13">
        <f>IF('Données projet'!$A$88&gt;35,BD43+BC44-BL43,IF(A44&lt;'Données projet'!$A$88,$BA$205^A44,IF(A44='Données projet'!$A$88,'Données projet'!$B$88,BD43+BC44-BL43)))</f>
        <v>87.035087719298332</v>
      </c>
      <c r="BE44" s="14">
        <f>BD44*VLOOKUP('Données projet'!$B$11,Paramètres!$A$1:$I$89,3,0)*VLOOKUP('Données projet'!$B$11,Paramètres!$A$1:$I$89,5,0)</f>
        <v>41.8638771929825</v>
      </c>
      <c r="BF44" s="14">
        <f t="shared" si="37"/>
        <v>12.491350681549227</v>
      </c>
      <c r="BG44" s="22">
        <f t="shared" si="7"/>
        <v>94.668688548142754</v>
      </c>
      <c r="BH44" s="62">
        <f t="shared" si="8"/>
        <v>388.00202188147608</v>
      </c>
      <c r="BI44" s="62">
        <f ca="1">AVERAGE(OFFSET($BH$3,0,0,'Données projet'!$E$11+1,1))-AVERAGE(OFFSET($H$3,0,0,'Données projet'!$E$11+1,1))</f>
        <v>206.96327004330573</v>
      </c>
      <c r="BJ44" s="62">
        <f t="shared" si="38"/>
        <v>106.52590664430284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20.6</v>
      </c>
      <c r="N45" s="14">
        <f>IF('Données projet'!$A$36&gt;35,N44+M45-V44,IF(A45&lt;'Données projet'!$A$36,$K$205^A45,IF(A45='Données projet'!$A$36,'Données projet'!$B$36,N44+M45-V44)))</f>
        <v>464.20000000000016</v>
      </c>
      <c r="O45" s="14">
        <f>N45*VLOOKUP('Données projet'!$B$9,Paramètres!$A$1:$I$89,3,0)*VLOOKUP('Données projet'!$B$9,Paramètres!$A$1:$I$89,5,0)</f>
        <v>259.48780000000005</v>
      </c>
      <c r="P45" s="14">
        <f t="shared" si="33"/>
        <v>62.613185087484013</v>
      </c>
      <c r="Q45" s="22">
        <f t="shared" si="53"/>
        <v>560.992549027368</v>
      </c>
      <c r="R45" s="62">
        <f t="shared" si="0"/>
        <v>854.32588236070137</v>
      </c>
      <c r="S45" s="62">
        <f ca="1">AVERAGE(OFFSET($R$3,0,0,'Données projet'!$E$9+1,1))-AVERAGE(OFFSET($H$3,0,0,'Données projet'!$E$9+1,1))</f>
        <v>365.70510182727895</v>
      </c>
      <c r="T45" s="62">
        <f t="shared" si="34"/>
        <v>436.23833844962525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34.030665664871194</v>
      </c>
      <c r="AA45" s="23">
        <f>EXP(-LN(2)/25)*AA44+(1-EXP(-LN(2)/25))/(LN(2)/25)*Calculateur!V45*Calculateur!X45*VLOOKUP('Données projet'!$B$9,Paramètres!$A$1:$I$89,3,0)*0.475*44/12</f>
        <v>21.905942935294817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55.936608600166011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14.1</v>
      </c>
      <c r="AI45" s="14">
        <f>IF('Données projet'!$A$62&gt;35,AI44+AH45-AQ44,IF(A45&lt;'Données projet'!$A$62,$AF$205^A45,IF(A45='Données projet'!$A$62,'Données projet'!$B$62,AI44+AH45-AQ44)))</f>
        <v>202.20000000000002</v>
      </c>
      <c r="AJ45" s="14">
        <f>AI45*VLOOKUP('Données projet'!$B$10,Paramètres!$A$1:$I$89,3,0)*VLOOKUP('Données projet'!$B$10,Paramètres!$A$1:$I$89,5,0)</f>
        <v>120.91560000000003</v>
      </c>
      <c r="AK45" s="14">
        <f t="shared" si="35"/>
        <v>31.888453396738488</v>
      </c>
      <c r="AL45" s="22">
        <f t="shared" si="4"/>
        <v>266.13372633265288</v>
      </c>
      <c r="AM45" s="62">
        <f t="shared" si="5"/>
        <v>559.4670596659862</v>
      </c>
      <c r="AN45" s="62">
        <f ca="1">AVERAGE(OFFSET($AM$3,0,0,'Données projet'!$E$10+1,1))-AVERAGE(OFFSET($H$3,0,0,'Données projet'!$E$10+1,1))</f>
        <v>295.83974441964551</v>
      </c>
      <c r="AO45" s="62">
        <f t="shared" si="36"/>
        <v>212.24900914818096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9.8586202786260735</v>
      </c>
      <c r="AV45" s="23">
        <f>EXP(-LN(2)/25)*AV44+(1-EXP(-LN(2)/25))/(LN(2)/25)*Calculateur!AQ45*Calculateur!AS45*VLOOKUP('Données projet'!$B$10,Paramètres!$A$1:$I$89,3,0)*0.475*44/12</f>
        <v>15.449273671061967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25.30789394968804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2.1228070175438596</v>
      </c>
      <c r="BD45" s="13">
        <f>IF('Données projet'!$A$88&gt;35,BD44+BC45-BL44,IF(A45&lt;'Données projet'!$A$88,$BA$205^A45,IF(A45='Données projet'!$A$88,'Données projet'!$B$88,BD44+BC45-BL44)))</f>
        <v>89.157894736842195</v>
      </c>
      <c r="BE45" s="14">
        <f>BD45*VLOOKUP('Données projet'!$B$11,Paramètres!$A$1:$I$89,3,0)*VLOOKUP('Données projet'!$B$11,Paramètres!$A$1:$I$89,5,0)</f>
        <v>42.884947368421102</v>
      </c>
      <c r="BF45" s="14">
        <f t="shared" si="37"/>
        <v>12.760175808313107</v>
      </c>
      <c r="BG45" s="22">
        <f t="shared" si="7"/>
        <v>96.915256199478748</v>
      </c>
      <c r="BH45" s="62">
        <f t="shared" si="8"/>
        <v>390.24858953281205</v>
      </c>
      <c r="BI45" s="62">
        <f ca="1">AVERAGE(OFFSET($BH$3,0,0,'Données projet'!$E$11+1,1))-AVERAGE(OFFSET($H$3,0,0,'Données projet'!$E$11+1,1))</f>
        <v>206.96327004330573</v>
      </c>
      <c r="BJ45" s="62">
        <f t="shared" si="38"/>
        <v>106.52590664430284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20.6</v>
      </c>
      <c r="N46" s="14">
        <f>IF('Données projet'!$A$36&gt;35,N45+M46-V45,IF(A46&lt;'Données projet'!$A$36,$K$205^A46,IF(A46='Données projet'!$A$36,'Données projet'!$B$36,N45+M46-V45)))</f>
        <v>484.80000000000018</v>
      </c>
      <c r="O46" s="14">
        <f>N46*VLOOKUP('Données projet'!$B$9,Paramètres!$A$1:$I$89,3,0)*VLOOKUP('Données projet'!$B$9,Paramètres!$A$1:$I$89,5,0)</f>
        <v>271.00320000000011</v>
      </c>
      <c r="P46" s="14">
        <f t="shared" si="33"/>
        <v>65.062127670866857</v>
      </c>
      <c r="Q46" s="22">
        <f t="shared" si="53"/>
        <v>585.31377902676002</v>
      </c>
      <c r="R46" s="62">
        <f t="shared" si="0"/>
        <v>878.64711236009339</v>
      </c>
      <c r="S46" s="62">
        <f ca="1">AVERAGE(OFFSET($R$3,0,0,'Données projet'!$E$9+1,1))-AVERAGE(OFFSET($H$3,0,0,'Données projet'!$E$9+1,1))</f>
        <v>365.70510182727895</v>
      </c>
      <c r="T46" s="62">
        <f t="shared" si="34"/>
        <v>436.23833844962525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33.363345067839575</v>
      </c>
      <c r="AA46" s="23">
        <f>EXP(-LN(2)/25)*AA45+(1-EXP(-LN(2)/25))/(LN(2)/25)*Calculateur!V46*Calculateur!X46*VLOOKUP('Données projet'!$B$9,Paramètres!$A$1:$I$89,3,0)*0.475*44/12</f>
        <v>21.306923773745709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54.670268841585283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14.1</v>
      </c>
      <c r="AI46" s="14">
        <f>IF('Données projet'!$A$62&gt;35,AI45+AH46-AQ45,IF(A46&lt;'Données projet'!$A$62,$AF$205^A46,IF(A46='Données projet'!$A$62,'Données projet'!$B$62,AI45+AH46-AQ45)))</f>
        <v>216.3</v>
      </c>
      <c r="AJ46" s="14">
        <f>AI46*VLOOKUP('Données projet'!$B$10,Paramètres!$A$1:$I$89,3,0)*VLOOKUP('Données projet'!$B$10,Paramètres!$A$1:$I$89,5,0)</f>
        <v>129.34740000000002</v>
      </c>
      <c r="AK46" s="14">
        <f t="shared" si="35"/>
        <v>33.845518493267228</v>
      </c>
      <c r="AL46" s="22">
        <f t="shared" si="4"/>
        <v>284.22766637577377</v>
      </c>
      <c r="AM46" s="62">
        <f t="shared" si="5"/>
        <v>577.56099970910714</v>
      </c>
      <c r="AN46" s="62">
        <f ca="1">AVERAGE(OFFSET($AM$3,0,0,'Données projet'!$E$10+1,1))-AVERAGE(OFFSET($H$3,0,0,'Données projet'!$E$10+1,1))</f>
        <v>295.83974441964551</v>
      </c>
      <c r="AO46" s="62">
        <f t="shared" si="36"/>
        <v>212.24900914818096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9.6652987481268351</v>
      </c>
      <c r="AV46" s="23">
        <f>EXP(-LN(2)/25)*AV45+(1-EXP(-LN(2)/25))/(LN(2)/25)*Calculateur!AQ46*Calculateur!AS46*VLOOKUP('Données projet'!$B$10,Paramètres!$A$1:$I$89,3,0)*0.475*44/12</f>
        <v>15.026812470084785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24.692111218211622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2.1228070175438596</v>
      </c>
      <c r="BD46" s="13">
        <f>IF('Données projet'!$A$88&gt;35,BD45+BC46-BL45,IF(A46&lt;'Données projet'!$A$88,$BA$205^A46,IF(A46='Données projet'!$A$88,'Données projet'!$B$88,BD45+BC46-BL45)))</f>
        <v>91.280701754386058</v>
      </c>
      <c r="BE46" s="14">
        <f>BD46*VLOOKUP('Données projet'!$B$11,Paramètres!$A$1:$I$89,3,0)*VLOOKUP('Données projet'!$B$11,Paramètres!$A$1:$I$89,5,0)</f>
        <v>43.906017543859697</v>
      </c>
      <c r="BF46" s="14">
        <f t="shared" si="37"/>
        <v>13.028256862584728</v>
      </c>
      <c r="BG46" s="22">
        <f t="shared" si="7"/>
        <v>99.160527924557371</v>
      </c>
      <c r="BH46" s="62">
        <f t="shared" si="8"/>
        <v>392.49386125789067</v>
      </c>
      <c r="BI46" s="62">
        <f ca="1">AVERAGE(OFFSET($BH$3,0,0,'Données projet'!$E$11+1,1))-AVERAGE(OFFSET($H$3,0,0,'Données projet'!$E$11+1,1))</f>
        <v>206.96327004330573</v>
      </c>
      <c r="BJ46" s="62">
        <f t="shared" si="38"/>
        <v>106.52590664430284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20.6</v>
      </c>
      <c r="N47" s="14">
        <f>IF('Données projet'!$A$36&gt;35,N46+M47-V46,IF(A47&lt;'Données projet'!$A$36,$K$205^A47,IF(A47='Données projet'!$A$36,'Données projet'!$B$36,N46+M47-V46)))</f>
        <v>505.4000000000002</v>
      </c>
      <c r="O47" s="14">
        <f>N47*VLOOKUP('Données projet'!$B$9,Paramètres!$A$1:$I$89,3,0)*VLOOKUP('Données projet'!$B$9,Paramètres!$A$1:$I$89,5,0)</f>
        <v>282.51860000000011</v>
      </c>
      <c r="P47" s="14">
        <f t="shared" si="33"/>
        <v>67.498983751557503</v>
      </c>
      <c r="Q47" s="22">
        <f t="shared" si="53"/>
        <v>609.61395836729616</v>
      </c>
      <c r="R47" s="62">
        <f t="shared" si="0"/>
        <v>902.94729170062942</v>
      </c>
      <c r="S47" s="62">
        <f ca="1">AVERAGE(OFFSET($R$3,0,0,'Données projet'!$E$9+1,1))-AVERAGE(OFFSET($H$3,0,0,'Données projet'!$E$9+1,1))</f>
        <v>365.70510182727895</v>
      </c>
      <c r="T47" s="62">
        <f t="shared" si="34"/>
        <v>436.23833844962525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32.70911022069037</v>
      </c>
      <c r="AA47" s="23">
        <f>EXP(-LN(2)/25)*AA46+(1-EXP(-LN(2)/25))/(LN(2)/25)*Calculateur!V47*Calculateur!X47*VLOOKUP('Données projet'!$B$9,Paramètres!$A$1:$I$89,3,0)*0.475*44/12</f>
        <v>20.72428482267021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53.433395043360576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14.1</v>
      </c>
      <c r="AI47" s="14">
        <f>IF('Données projet'!$A$62&gt;35,AI46+AH47-AQ46,IF(A47&lt;'Données projet'!$A$62,$AF$205^A47,IF(A47='Données projet'!$A$62,'Données projet'!$B$62,AI46+AH47-AQ46)))</f>
        <v>230.4</v>
      </c>
      <c r="AJ47" s="14">
        <f>AI47*VLOOKUP('Données projet'!$B$10,Paramètres!$A$1:$I$89,3,0)*VLOOKUP('Données projet'!$B$10,Paramètres!$A$1:$I$89,5,0)</f>
        <v>137.7792</v>
      </c>
      <c r="AK47" s="14">
        <f t="shared" si="35"/>
        <v>35.787778913287674</v>
      </c>
      <c r="AL47" s="22">
        <f t="shared" si="4"/>
        <v>302.29582160730934</v>
      </c>
      <c r="AM47" s="62">
        <f t="shared" si="5"/>
        <v>595.62915494064259</v>
      </c>
      <c r="AN47" s="62">
        <f ca="1">AVERAGE(OFFSET($AM$3,0,0,'Données projet'!$E$10+1,1))-AVERAGE(OFFSET($H$3,0,0,'Données projet'!$E$10+1,1))</f>
        <v>295.83974441964551</v>
      </c>
      <c r="AO47" s="62">
        <f t="shared" si="36"/>
        <v>212.24900914818096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9.4757681349261969</v>
      </c>
      <c r="AV47" s="23">
        <f>EXP(-LN(2)/25)*AV46+(1-EXP(-LN(2)/25))/(LN(2)/25)*Calculateur!AQ47*Calculateur!AS47*VLOOKUP('Données projet'!$B$10,Paramètres!$A$1:$I$89,3,0)*0.475*44/12</f>
        <v>14.615903492864593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24.091671627790788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2.1228070175438596</v>
      </c>
      <c r="BD47" s="13">
        <f>IF('Données projet'!$A$88&gt;35,BD46+BC47-BL46,IF(A47&lt;'Données projet'!$A$88,$BA$205^A47,IF(A47='Données projet'!$A$88,'Données projet'!$B$88,BD46+BC47-BL46)))</f>
        <v>93.403508771929921</v>
      </c>
      <c r="BE47" s="14">
        <f>BD47*VLOOKUP('Données projet'!$B$11,Paramètres!$A$1:$I$89,3,0)*VLOOKUP('Données projet'!$B$11,Paramètres!$A$1:$I$89,5,0)</f>
        <v>44.927087719298299</v>
      </c>
      <c r="BF47" s="14">
        <f t="shared" si="37"/>
        <v>13.295613139954774</v>
      </c>
      <c r="BG47" s="22">
        <f t="shared" si="7"/>
        <v>101.40453732986578</v>
      </c>
      <c r="BH47" s="62">
        <f t="shared" si="8"/>
        <v>394.73787066319909</v>
      </c>
      <c r="BI47" s="62">
        <f ca="1">AVERAGE(OFFSET($BH$3,0,0,'Données projet'!$E$11+1,1))-AVERAGE(OFFSET($H$3,0,0,'Données projet'!$E$11+1,1))</f>
        <v>206.96327004330573</v>
      </c>
      <c r="BJ47" s="62">
        <f t="shared" si="38"/>
        <v>106.52590664430284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526</v>
      </c>
      <c r="L48" s="13">
        <f>VLOOKUP(A48,'Données projet'!$A$35:$I$55,9,0)</f>
        <v>20.6</v>
      </c>
      <c r="M48" s="13">
        <f t="array" ref="M48">INDEX(L:L,MIN(IF(ISNUMBER(L48:L244),ROW(L48:L244),"")))</f>
        <v>20.6</v>
      </c>
      <c r="N48" s="14">
        <f>IF('Données projet'!$A$36&gt;35,N47+M48-V47,IF(A48&lt;'Données projet'!$A$36,$K$205^A48,IF(A48='Données projet'!$A$36,'Données projet'!$B$36,N47+M48-V47)))</f>
        <v>526.00000000000023</v>
      </c>
      <c r="O48" s="14">
        <f>N48*VLOOKUP('Données projet'!$B$9,Paramètres!$A$1:$I$89,3,0)*VLOOKUP('Données projet'!$B$9,Paramètres!$A$1:$I$89,5,0)</f>
        <v>294.03400000000011</v>
      </c>
      <c r="P48" s="14">
        <f t="shared" si="33"/>
        <v>69.924302323873434</v>
      </c>
      <c r="Q48" s="22">
        <f t="shared" si="53"/>
        <v>633.89404321407972</v>
      </c>
      <c r="R48" s="62">
        <f t="shared" si="0"/>
        <v>927.22737654741309</v>
      </c>
      <c r="S48" s="62">
        <f ca="1">AVERAGE(OFFSET($R$3,0,0,'Données projet'!$E$9+1,1))-AVERAGE(OFFSET($H$3,0,0,'Données projet'!$E$9+1,1))</f>
        <v>365.70510182727895</v>
      </c>
      <c r="T48" s="62">
        <f t="shared" si="34"/>
        <v>436.23833844962525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57</v>
      </c>
      <c r="W48" s="17">
        <f>IF(ISNA(VLOOKUP(A48,'Données projet'!$A$35:$I$55,5,0)),0%,VLOOKUP(A48,'Données projet'!$A$35:$I$55,5,0)*VLOOKUP('Données projet'!$B$9,Paramètres!$A$1:$I$89,7,0))</f>
        <v>0.49500000000000005</v>
      </c>
      <c r="X48" s="17">
        <f>IF(ISNA(VLOOKUP(A48,'Données projet'!$A$35:$I$55,6,0)),0%,VLOOKUP(A48,'Données projet'!$A$35:$I$55,6,0)*VLOOKUP('Données projet'!$B$9,Paramètres!$A$1:$I$89,7,0))</f>
        <v>5.5000000000000007E-2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52.990524525466597</v>
      </c>
      <c r="AA48" s="23">
        <f>EXP(-LN(2)/25)*AA47+(1-EXP(-LN(2)/25))/(LN(2)/25)*Calculateur!V48*Calculateur!X48*VLOOKUP('Données projet'!$B$9,Paramètres!$A$1:$I$89,3,0)*0.475*44/12</f>
        <v>22.473182485577645</v>
      </c>
      <c r="AB48" s="23">
        <f>EXP(-LN(2)/2)*AB47+(1-EXP(-LN(2)/2))/(LN(2)/2)*V48*Y48*VLOOKUP('Données projet'!$B$9,Paramètres!$A$1:$I$89,3,0)*0.475*44/12</f>
        <v>0</v>
      </c>
      <c r="AC48" s="24">
        <f t="shared" si="3"/>
        <v>75.463707011044249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14.1</v>
      </c>
      <c r="AI48" s="14">
        <f>IF('Données projet'!$A$62&gt;35,AI47+AH48-AQ47,IF(A48&lt;'Données projet'!$A$62,$AF$205^A48,IF(A48='Données projet'!$A$62,'Données projet'!$B$62,AI47+AH48-AQ47)))</f>
        <v>244.5</v>
      </c>
      <c r="AJ48" s="14">
        <f>AI48*VLOOKUP('Données projet'!$B$10,Paramètres!$A$1:$I$89,3,0)*VLOOKUP('Données projet'!$B$10,Paramètres!$A$1:$I$89,5,0)</f>
        <v>146.21100000000001</v>
      </c>
      <c r="AK48" s="14">
        <f t="shared" si="35"/>
        <v>37.71624383608448</v>
      </c>
      <c r="AL48" s="22">
        <f t="shared" si="4"/>
        <v>320.33994968118049</v>
      </c>
      <c r="AM48" s="62">
        <f t="shared" si="5"/>
        <v>613.6732830145138</v>
      </c>
      <c r="AN48" s="62">
        <f ca="1">AVERAGE(OFFSET($AM$3,0,0,'Données projet'!$E$10+1,1))-AVERAGE(OFFSET($H$3,0,0,'Données projet'!$E$10+1,1))</f>
        <v>295.83974441964551</v>
      </c>
      <c r="AO48" s="62">
        <f t="shared" si="36"/>
        <v>212.24900914818096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9.2899541014481635</v>
      </c>
      <c r="AV48" s="23">
        <f>EXP(-LN(2)/25)*AV47+(1-EXP(-LN(2)/25))/(LN(2)/25)*Calculateur!AQ48*Calculateur!AS48*VLOOKUP('Données projet'!$B$10,Paramètres!$A$1:$I$89,3,0)*0.475*44/12</f>
        <v>14.216230843235252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23.506184944683415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2.1228070175438596</v>
      </c>
      <c r="BD48" s="13">
        <f>IF('Données projet'!$A$88&gt;35,BD47+BC48-BL47,IF(A48&lt;'Données projet'!$A$88,$BA$205^A48,IF(A48='Données projet'!$A$88,'Données projet'!$B$88,BD47+BC48-BL47)))</f>
        <v>95.526315789473784</v>
      </c>
      <c r="BE48" s="14">
        <f>BD48*VLOOKUP('Données projet'!$B$11,Paramètres!$A$1:$I$89,3,0)*VLOOKUP('Données projet'!$B$11,Paramètres!$A$1:$I$89,5,0)</f>
        <v>45.948157894736887</v>
      </c>
      <c r="BF48" s="14">
        <f t="shared" si="37"/>
        <v>13.562263008882535</v>
      </c>
      <c r="BG48" s="22">
        <f t="shared" si="7"/>
        <v>103.64731640713715</v>
      </c>
      <c r="BH48" s="62">
        <f t="shared" si="8"/>
        <v>396.98064974047048</v>
      </c>
      <c r="BI48" s="62">
        <f ca="1">AVERAGE(OFFSET($BH$3,0,0,'Données projet'!$E$11+1,1))-AVERAGE(OFFSET($H$3,0,0,'Données projet'!$E$11+1,1))</f>
        <v>206.96327004330573</v>
      </c>
      <c r="BJ48" s="62">
        <f t="shared" si="38"/>
        <v>106.52590664430284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15</v>
      </c>
      <c r="N49" s="14">
        <f>IF('Données projet'!$A$36&gt;35,N48+M49-V48,IF(A49&lt;'Données projet'!$A$36,$K$205^A49,IF(A49='Données projet'!$A$36,'Données projet'!$B$36,N48+M49-V48)))</f>
        <v>484.00000000000023</v>
      </c>
      <c r="O49" s="14">
        <f>N49*VLOOKUP('Données projet'!$B$9,Paramètres!$A$1:$I$89,3,0)*VLOOKUP('Données projet'!$B$9,Paramètres!$A$1:$I$89,5,0)</f>
        <v>270.55600000000015</v>
      </c>
      <c r="P49" s="14">
        <f t="shared" si="33"/>
        <v>64.967252389325282</v>
      </c>
      <c r="Q49" s="22">
        <f t="shared" si="53"/>
        <v>584.36966457807512</v>
      </c>
      <c r="R49" s="62">
        <f t="shared" si="0"/>
        <v>877.70299791140837</v>
      </c>
      <c r="S49" s="62">
        <f ca="1">AVERAGE(OFFSET($R$3,0,0,'Données projet'!$E$9+1,1))-AVERAGE(OFFSET($H$3,0,0,'Données projet'!$E$9+1,1))</f>
        <v>365.70510182727895</v>
      </c>
      <c r="T49" s="62">
        <f t="shared" si="34"/>
        <v>436.23833844962525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51.951412660550723</v>
      </c>
      <c r="AA49" s="23">
        <f>EXP(-LN(2)/25)*AA48+(1-EXP(-LN(2)/25))/(LN(2)/25)*Calculateur!V49*Calculateur!X49*VLOOKUP('Données projet'!$B$9,Paramètres!$A$1:$I$89,3,0)*0.475*44/12</f>
        <v>21.858652128696221</v>
      </c>
      <c r="AB49" s="23">
        <f>EXP(-LN(2)/2)*AB48+(1-EXP(-LN(2)/2))/(LN(2)/2)*V49*Y49*VLOOKUP('Données projet'!$B$9,Paramètres!$A$1:$I$89,3,0)*0.475*44/12</f>
        <v>0</v>
      </c>
      <c r="AC49" s="24">
        <f t="shared" si="3"/>
        <v>73.810064789246951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14.1</v>
      </c>
      <c r="AI49" s="14">
        <f>IF('Données projet'!$A$62&gt;35,AI48+AH49-AQ48,IF(A49&lt;'Données projet'!$A$62,$AF$205^A49,IF(A49='Données projet'!$A$62,'Données projet'!$B$62,AI48+AH49-AQ48)))</f>
        <v>258.60000000000002</v>
      </c>
      <c r="AJ49" s="14">
        <f>AI49*VLOOKUP('Données projet'!$B$10,Paramètres!$A$1:$I$89,3,0)*VLOOKUP('Données projet'!$B$10,Paramètres!$A$1:$I$89,5,0)</f>
        <v>154.64280000000002</v>
      </c>
      <c r="AK49" s="14">
        <f t="shared" si="35"/>
        <v>39.631799470164985</v>
      </c>
      <c r="AL49" s="22">
        <f t="shared" si="4"/>
        <v>338.36159407720407</v>
      </c>
      <c r="AM49" s="62">
        <f t="shared" si="5"/>
        <v>631.69492741053739</v>
      </c>
      <c r="AN49" s="62">
        <f ca="1">AVERAGE(OFFSET($AM$3,0,0,'Données projet'!$E$10+1,1))-AVERAGE(OFFSET($H$3,0,0,'Données projet'!$E$10+1,1))</f>
        <v>295.83974441964551</v>
      </c>
      <c r="AO49" s="62">
        <f t="shared" si="36"/>
        <v>212.24900914818096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9.1077837678312648</v>
      </c>
      <c r="AV49" s="23">
        <f>EXP(-LN(2)/25)*AV48+(1-EXP(-LN(2)/25))/(LN(2)/25)*Calculateur!AQ49*Calculateur!AS49*VLOOKUP('Données projet'!$B$10,Paramètres!$A$1:$I$89,3,0)*0.475*44/12</f>
        <v>13.827487263227896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22.935271031059159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2.1228070175438596</v>
      </c>
      <c r="BD49" s="13">
        <f>IF('Données projet'!$A$88&gt;35,BD48+BC49-BL48,IF(A49&lt;'Données projet'!$A$88,$BA$205^A49,IF(A49='Données projet'!$A$88,'Données projet'!$B$88,BD48+BC49-BL48)))</f>
        <v>97.649122807017648</v>
      </c>
      <c r="BE49" s="14">
        <f>BD49*VLOOKUP('Données projet'!$B$11,Paramètres!$A$1:$I$89,3,0)*VLOOKUP('Données projet'!$B$11,Paramètres!$A$1:$I$89,5,0)</f>
        <v>46.96922807017549</v>
      </c>
      <c r="BF49" s="14">
        <f t="shared" si="37"/>
        <v>13.828223974841038</v>
      </c>
      <c r="BG49" s="22">
        <f t="shared" si="7"/>
        <v>105.88889564507043</v>
      </c>
      <c r="BH49" s="62">
        <f t="shared" si="8"/>
        <v>399.22222897840373</v>
      </c>
      <c r="BI49" s="62">
        <f ca="1">AVERAGE(OFFSET($BH$3,0,0,'Données projet'!$E$11+1,1))-AVERAGE(OFFSET($H$3,0,0,'Données projet'!$E$11+1,1))</f>
        <v>206.96327004330573</v>
      </c>
      <c r="BJ49" s="62">
        <f t="shared" si="38"/>
        <v>106.52590664430284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15</v>
      </c>
      <c r="N50" s="14">
        <f>IF('Données projet'!$A$36&gt;35,N49+M50-V49,IF(A50&lt;'Données projet'!$A$36,$K$205^A50,IF(A50='Données projet'!$A$36,'Données projet'!$B$36,N49+M50-V49)))</f>
        <v>499.00000000000023</v>
      </c>
      <c r="O50" s="14">
        <f>N50*VLOOKUP('Données projet'!$B$9,Paramètres!$A$1:$I$89,3,0)*VLOOKUP('Données projet'!$B$9,Paramètres!$A$1:$I$89,5,0)</f>
        <v>278.94100000000014</v>
      </c>
      <c r="P50" s="14">
        <f t="shared" si="33"/>
        <v>66.743162406600192</v>
      </c>
      <c r="Q50" s="22">
        <f t="shared" si="53"/>
        <v>602.06658285816218</v>
      </c>
      <c r="R50" s="62">
        <f t="shared" si="0"/>
        <v>895.39991619149555</v>
      </c>
      <c r="S50" s="62">
        <f ca="1">AVERAGE(OFFSET($R$3,0,0,'Données projet'!$E$9+1,1))-AVERAGE(OFFSET($H$3,0,0,'Données projet'!$E$9+1,1))</f>
        <v>365.70510182727895</v>
      </c>
      <c r="T50" s="62">
        <f t="shared" si="34"/>
        <v>436.23833844962525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50.932677145510191</v>
      </c>
      <c r="AA50" s="23">
        <f>EXP(-LN(2)/25)*AA49+(1-EXP(-LN(2)/25))/(LN(2)/25)*Calculateur!V50*Calculateur!X50*VLOOKUP('Données projet'!$B$9,Paramètres!$A$1:$I$89,3,0)*0.475*44/12</f>
        <v>21.260926136740466</v>
      </c>
      <c r="AB50" s="23">
        <f>EXP(-LN(2)/2)*AB49+(1-EXP(-LN(2)/2))/(LN(2)/2)*V50*Y50*VLOOKUP('Données projet'!$B$9,Paramètres!$A$1:$I$89,3,0)*0.475*44/12</f>
        <v>0</v>
      </c>
      <c r="AC50" s="24">
        <f t="shared" si="3"/>
        <v>72.193603282250649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14.1</v>
      </c>
      <c r="AI50" s="14">
        <f>IF('Données projet'!$A$62&gt;35,AI49+AH50-AQ49,IF(A50&lt;'Données projet'!$A$62,$AF$205^A50,IF(A50='Données projet'!$A$62,'Données projet'!$B$62,AI49+AH50-AQ49)))</f>
        <v>272.70000000000005</v>
      </c>
      <c r="AJ50" s="14">
        <f>AI50*VLOOKUP('Données projet'!$B$10,Paramètres!$A$1:$I$89,3,0)*VLOOKUP('Données projet'!$B$10,Paramètres!$A$1:$I$89,5,0)</f>
        <v>163.07460000000003</v>
      </c>
      <c r="AK50" s="14">
        <f t="shared" si="35"/>
        <v>41.535229926099966</v>
      </c>
      <c r="AL50" s="22">
        <f t="shared" si="4"/>
        <v>356.36212045462412</v>
      </c>
      <c r="AM50" s="62">
        <f t="shared" si="5"/>
        <v>649.69545378795738</v>
      </c>
      <c r="AN50" s="62">
        <f ca="1">AVERAGE(OFFSET($AM$3,0,0,'Données projet'!$E$10+1,1))-AVERAGE(OFFSET($H$3,0,0,'Données projet'!$E$10+1,1))</f>
        <v>295.83974441964551</v>
      </c>
      <c r="AO50" s="62">
        <f t="shared" si="36"/>
        <v>212.24900914818096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8.9291856833436611</v>
      </c>
      <c r="AV50" s="23">
        <f>EXP(-LN(2)/25)*AV49+(1-EXP(-LN(2)/25))/(LN(2)/25)*Calculateur!AQ50*Calculateur!AS50*VLOOKUP('Données projet'!$B$10,Paramètres!$A$1:$I$89,3,0)*0.475*44/12</f>
        <v>13.449373896858978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22.378559580202641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2.1228070175438596</v>
      </c>
      <c r="BD50" s="13">
        <f>IF('Données projet'!$A$88&gt;35,BD49+BC50-BL49,IF(A50&lt;'Données projet'!$A$88,$BA$205^A50,IF(A50='Données projet'!$A$88,'Données projet'!$B$88,BD49+BC50-BL49)))</f>
        <v>99.771929824561511</v>
      </c>
      <c r="BE50" s="14">
        <f>BD50*VLOOKUP('Données projet'!$B$11,Paramètres!$A$1:$I$89,3,0)*VLOOKUP('Données projet'!$B$11,Paramètres!$A$1:$I$89,5,0)</f>
        <v>47.990298245614085</v>
      </c>
      <c r="BF50" s="14">
        <f t="shared" si="37"/>
        <v>14.093512738727078</v>
      </c>
      <c r="BG50" s="22">
        <f t="shared" si="7"/>
        <v>108.12930413106085</v>
      </c>
      <c r="BH50" s="62">
        <f t="shared" si="8"/>
        <v>401.46263746439416</v>
      </c>
      <c r="BI50" s="62">
        <f ca="1">AVERAGE(OFFSET($BH$3,0,0,'Données projet'!$E$11+1,1))-AVERAGE(OFFSET($H$3,0,0,'Données projet'!$E$11+1,1))</f>
        <v>206.96327004330573</v>
      </c>
      <c r="BJ50" s="62">
        <f t="shared" si="38"/>
        <v>106.52590664430284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15</v>
      </c>
      <c r="N51" s="14">
        <f>IF('Données projet'!$A$36&gt;35,N50+M51-V50,IF(A51&lt;'Données projet'!$A$36,$K$205^A51,IF(A51='Données projet'!$A$36,'Données projet'!$B$36,N50+M51-V50)))</f>
        <v>514.00000000000023</v>
      </c>
      <c r="O51" s="14">
        <f>N51*VLOOKUP('Données projet'!$B$9,Paramètres!$A$1:$I$89,3,0)*VLOOKUP('Données projet'!$B$9,Paramètres!$A$1:$I$89,5,0)</f>
        <v>287.32600000000014</v>
      </c>
      <c r="P51" s="14">
        <f t="shared" si="33"/>
        <v>68.512868389632118</v>
      </c>
      <c r="Q51" s="22">
        <f t="shared" si="53"/>
        <v>619.75269577860945</v>
      </c>
      <c r="R51" s="62">
        <f t="shared" si="0"/>
        <v>913.08602911194271</v>
      </c>
      <c r="S51" s="62">
        <f ca="1">AVERAGE(OFFSET($R$3,0,0,'Données projet'!$E$9+1,1))-AVERAGE(OFFSET($H$3,0,0,'Données projet'!$E$9+1,1))</f>
        <v>365.70510182727895</v>
      </c>
      <c r="T51" s="62">
        <f t="shared" si="34"/>
        <v>436.23833844962525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49.933918412552295</v>
      </c>
      <c r="AA51" s="23">
        <f>EXP(-LN(2)/25)*AA50+(1-EXP(-LN(2)/25))/(LN(2)/25)*Calculateur!V51*Calculateur!X51*VLOOKUP('Données projet'!$B$9,Paramètres!$A$1:$I$89,3,0)*0.475*44/12</f>
        <v>20.679544993467786</v>
      </c>
      <c r="AB51" s="23">
        <f>EXP(-LN(2)/2)*AB50+(1-EXP(-LN(2)/2))/(LN(2)/2)*V51*Y51*VLOOKUP('Données projet'!$B$9,Paramètres!$A$1:$I$89,3,0)*0.475*44/12</f>
        <v>0</v>
      </c>
      <c r="AC51" s="24">
        <f t="shared" si="3"/>
        <v>70.613463406020088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14.1</v>
      </c>
      <c r="AI51" s="14">
        <f>IF('Données projet'!$A$62&gt;35,AI50+AH51-AQ50,IF(A51&lt;'Données projet'!$A$62,$AF$205^A51,IF(A51='Données projet'!$A$62,'Données projet'!$B$62,AI50+AH51-AQ50)))</f>
        <v>286.80000000000007</v>
      </c>
      <c r="AJ51" s="14">
        <f>AI51*VLOOKUP('Données projet'!$B$10,Paramètres!$A$1:$I$89,3,0)*VLOOKUP('Données projet'!$B$10,Paramètres!$A$1:$I$89,5,0)</f>
        <v>171.50640000000004</v>
      </c>
      <c r="AK51" s="14">
        <f t="shared" si="35"/>
        <v>43.427233649451665</v>
      </c>
      <c r="AL51" s="22">
        <f t="shared" si="4"/>
        <v>374.34274527279507</v>
      </c>
      <c r="AM51" s="62">
        <f t="shared" si="5"/>
        <v>667.67607860612839</v>
      </c>
      <c r="AN51" s="62">
        <f ca="1">AVERAGE(OFFSET($AM$3,0,0,'Données projet'!$E$10+1,1))-AVERAGE(OFFSET($H$3,0,0,'Données projet'!$E$10+1,1))</f>
        <v>295.83974441964551</v>
      </c>
      <c r="AO51" s="62">
        <f t="shared" si="36"/>
        <v>212.24900914818096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8.754089798358784</v>
      </c>
      <c r="AV51" s="23">
        <f>EXP(-LN(2)/25)*AV50+(1-EXP(-LN(2)/25))/(LN(2)/25)*Calculateur!AQ51*Calculateur!AS51*VLOOKUP('Données projet'!$B$10,Paramètres!$A$1:$I$89,3,0)*0.475*44/12</f>
        <v>13.081600060377534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21.835689858736316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2.1228070175438596</v>
      </c>
      <c r="BD51" s="13">
        <f>IF('Données projet'!$A$88&gt;35,BD50+BC51-BL50,IF(A51&lt;'Données projet'!$A$88,$BA$205^A51,IF(A51='Données projet'!$A$88,'Données projet'!$B$88,BD50+BC51-BL50)))</f>
        <v>101.89473684210537</v>
      </c>
      <c r="BE51" s="14">
        <f>BD51*VLOOKUP('Données projet'!$B$11,Paramètres!$A$1:$I$89,3,0)*VLOOKUP('Données projet'!$B$11,Paramètres!$A$1:$I$89,5,0)</f>
        <v>49.011368421052687</v>
      </c>
      <c r="BF51" s="14">
        <f t="shared" si="37"/>
        <v>14.358145250159863</v>
      </c>
      <c r="BG51" s="22">
        <f t="shared" si="7"/>
        <v>110.36856964402853</v>
      </c>
      <c r="BH51" s="62">
        <f t="shared" si="8"/>
        <v>403.70190297736184</v>
      </c>
      <c r="BI51" s="62">
        <f ca="1">AVERAGE(OFFSET($BH$3,0,0,'Données projet'!$E$11+1,1))-AVERAGE(OFFSET($H$3,0,0,'Données projet'!$E$11+1,1))</f>
        <v>206.96327004330573</v>
      </c>
      <c r="BJ51" s="62">
        <f t="shared" si="38"/>
        <v>106.52590664430284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15</v>
      </c>
      <c r="N52" s="14">
        <f>IF('Données projet'!$A$36&gt;35,N51+M52-V51,IF(A52&lt;'Données projet'!$A$36,$K$205^A52,IF(A52='Données projet'!$A$36,'Données projet'!$B$36,N51+M52-V51)))</f>
        <v>529.00000000000023</v>
      </c>
      <c r="O52" s="14">
        <f>N52*VLOOKUP('Données projet'!$B$9,Paramètres!$A$1:$I$89,3,0)*VLOOKUP('Données projet'!$B$9,Paramètres!$A$1:$I$89,5,0)</f>
        <v>295.71100000000013</v>
      </c>
      <c r="P52" s="14">
        <f t="shared" si="33"/>
        <v>70.276572179571303</v>
      </c>
      <c r="Q52" s="22">
        <f t="shared" si="53"/>
        <v>637.42835487942023</v>
      </c>
      <c r="R52" s="62">
        <f t="shared" si="0"/>
        <v>930.7616882127536</v>
      </c>
      <c r="S52" s="62">
        <f ca="1">AVERAGE(OFFSET($R$3,0,0,'Données projet'!$E$9+1,1))-AVERAGE(OFFSET($H$3,0,0,'Données projet'!$E$9+1,1))</f>
        <v>365.70510182727895</v>
      </c>
      <c r="T52" s="62">
        <f t="shared" si="34"/>
        <v>436.23833844962525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48.954744729165029</v>
      </c>
      <c r="AA52" s="23">
        <f>EXP(-LN(2)/25)*AA51+(1-EXP(-LN(2)/25))/(LN(2)/25)*Calculateur!V52*Calculateur!X52*VLOOKUP('Données projet'!$B$9,Paramètres!$A$1:$I$89,3,0)*0.475*44/12</f>
        <v>20.114061748131402</v>
      </c>
      <c r="AB52" s="23">
        <f>EXP(-LN(2)/2)*AB51+(1-EXP(-LN(2)/2))/(LN(2)/2)*V52*Y52*VLOOKUP('Données projet'!$B$9,Paramètres!$A$1:$I$89,3,0)*0.475*44/12</f>
        <v>0</v>
      </c>
      <c r="AC52" s="24">
        <f t="shared" si="3"/>
        <v>69.068806477296434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14.1</v>
      </c>
      <c r="AI52" s="14">
        <f>IF('Données projet'!$A$62&gt;35,AI51+AH52-AQ51,IF(A52&lt;'Données projet'!$A$62,$AF$205^A52,IF(A52='Données projet'!$A$62,'Données projet'!$B$62,AI51+AH52-AQ51)))</f>
        <v>300.90000000000009</v>
      </c>
      <c r="AJ52" s="14">
        <f>AI52*VLOOKUP('Données projet'!$B$10,Paramètres!$A$1:$I$89,3,0)*VLOOKUP('Données projet'!$B$10,Paramètres!$A$1:$I$89,5,0)</f>
        <v>179.93820000000005</v>
      </c>
      <c r="AK52" s="14">
        <f t="shared" si="35"/>
        <v>45.308436530386629</v>
      </c>
      <c r="AL52" s="22">
        <f t="shared" si="4"/>
        <v>392.30455862375675</v>
      </c>
      <c r="AM52" s="62">
        <f t="shared" si="5"/>
        <v>685.63789195709001</v>
      </c>
      <c r="AN52" s="62">
        <f ca="1">AVERAGE(OFFSET($AM$3,0,0,'Données projet'!$E$10+1,1))-AVERAGE(OFFSET($H$3,0,0,'Données projet'!$E$10+1,1))</f>
        <v>295.83974441964551</v>
      </c>
      <c r="AO52" s="62">
        <f t="shared" si="36"/>
        <v>212.24900914818096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8.5824274368805167</v>
      </c>
      <c r="AV52" s="23">
        <f>EXP(-LN(2)/25)*AV51+(1-EXP(-LN(2)/25))/(LN(2)/25)*Calculateur!AQ52*Calculateur!AS52*VLOOKUP('Données projet'!$B$10,Paramètres!$A$1:$I$89,3,0)*0.475*44/12</f>
        <v>12.723883018795062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21.306310455675579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2.1228070175438596</v>
      </c>
      <c r="BD52" s="13">
        <f>IF('Données projet'!$A$88&gt;35,BD51+BC52-BL51,IF(A52&lt;'Données projet'!$A$88,$BA$205^A52,IF(A52='Données projet'!$A$88,'Données projet'!$B$88,BD51+BC52-BL51)))</f>
        <v>104.01754385964924</v>
      </c>
      <c r="BE52" s="14">
        <f>BD52*VLOOKUP('Données projet'!$B$11,Paramètres!$A$1:$I$89,3,0)*VLOOKUP('Données projet'!$B$11,Paramètres!$A$1:$I$89,5,0)</f>
        <v>50.032438596491282</v>
      </c>
      <c r="BF52" s="14">
        <f t="shared" si="37"/>
        <v>14.622136756212733</v>
      </c>
      <c r="BG52" s="22">
        <f t="shared" si="7"/>
        <v>112.60671873929283</v>
      </c>
      <c r="BH52" s="62">
        <f t="shared" si="8"/>
        <v>405.94005207262614</v>
      </c>
      <c r="BI52" s="62">
        <f ca="1">AVERAGE(OFFSET($BH$3,0,0,'Données projet'!$E$11+1,1))-AVERAGE(OFFSET($H$3,0,0,'Données projet'!$E$11+1,1))</f>
        <v>206.96327004330573</v>
      </c>
      <c r="BJ52" s="62">
        <f t="shared" si="38"/>
        <v>106.52590664430284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544</v>
      </c>
      <c r="L53" s="13">
        <f>VLOOKUP(A53,'Données projet'!$A$35:$I$55,9,0)</f>
        <v>15</v>
      </c>
      <c r="M53" s="13">
        <f t="array" ref="M53">INDEX(L:L,MIN(IF(ISNUMBER(L53:L249),ROW(L53:L249),"")))</f>
        <v>15</v>
      </c>
      <c r="N53" s="14">
        <f>IF('Données projet'!$A$36&gt;35,N52+M53-V52,IF(A53&lt;'Données projet'!$A$36,$K$205^A53,IF(A53='Données projet'!$A$36,'Données projet'!$B$36,N52+M53-V52)))</f>
        <v>544.00000000000023</v>
      </c>
      <c r="O53" s="14">
        <f>N53*VLOOKUP('Données projet'!$B$9,Paramètres!$A$1:$I$89,3,0)*VLOOKUP('Données projet'!$B$9,Paramètres!$A$1:$I$89,5,0)</f>
        <v>304.09600000000012</v>
      </c>
      <c r="P53" s="14">
        <f t="shared" si="33"/>
        <v>72.03446351987327</v>
      </c>
      <c r="Q53" s="22">
        <f t="shared" si="53"/>
        <v>655.09389063044614</v>
      </c>
      <c r="R53" s="62">
        <f t="shared" si="0"/>
        <v>948.4272239637794</v>
      </c>
      <c r="S53" s="62">
        <f ca="1">AVERAGE(OFFSET($R$3,0,0,'Données projet'!$E$9+1,1))-AVERAGE(OFFSET($H$3,0,0,'Données projet'!$E$9+1,1))</f>
        <v>365.70510182727895</v>
      </c>
      <c r="T53" s="62">
        <f t="shared" si="34"/>
        <v>436.23833844962525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0.49500000000000005</v>
      </c>
      <c r="X53" s="17">
        <f>IF(ISNA(VLOOKUP(A53,'Données projet'!$A$35:$I$55,6,0)),0%,VLOOKUP(A53,'Données projet'!$A$35:$I$55,6,0)*VLOOKUP('Données projet'!$B$9,Paramètres!$A$1:$I$89,7,0))</f>
        <v>5.5000000000000007E-2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63.411586785452734</v>
      </c>
      <c r="AA53" s="23">
        <f>EXP(-LN(2)/25)*AA52+(1-EXP(-LN(2)/25))/(LN(2)/25)*Calculateur!V53*Calculateur!X53*VLOOKUP('Données projet'!$B$9,Paramètres!$A$1:$I$89,3,0)*0.475*44/12</f>
        <v>21.270276434884934</v>
      </c>
      <c r="AB53" s="23">
        <f>EXP(-LN(2)/2)*AB52+(1-EXP(-LN(2)/2))/(LN(2)/2)*V53*Y53*VLOOKUP('Données projet'!$B$9,Paramètres!$A$1:$I$89,3,0)*0.475*44/12</f>
        <v>0</v>
      </c>
      <c r="AC53" s="24">
        <f t="shared" si="3"/>
        <v>84.681863220337675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315</v>
      </c>
      <c r="AG53" s="13">
        <f>VLOOKUP(A53,'Données projet'!$A$61:$I$81,9,0)</f>
        <v>14.1</v>
      </c>
      <c r="AH53" s="13">
        <f t="array" ref="AH53">INDEX(AG:AG,MIN(IF(ISNUMBER(AG53:AG249),ROW(AG53:AG249),"")))</f>
        <v>14.1</v>
      </c>
      <c r="AI53" s="14">
        <f>IF('Données projet'!$A$62&gt;35,AI52+AH53-AQ52,IF(A53&lt;'Données projet'!$A$62,$AF$205^A53,IF(A53='Données projet'!$A$62,'Données projet'!$B$62,AI52+AH53-AQ52)))</f>
        <v>315.00000000000011</v>
      </c>
      <c r="AJ53" s="14">
        <f>AI53*VLOOKUP('Données projet'!$B$10,Paramètres!$A$1:$I$89,3,0)*VLOOKUP('Données projet'!$B$10,Paramètres!$A$1:$I$89,5,0)</f>
        <v>188.37000000000009</v>
      </c>
      <c r="AK53" s="14">
        <f t="shared" si="35"/>
        <v>47.179402486491341</v>
      </c>
      <c r="AL53" s="22">
        <f t="shared" si="4"/>
        <v>410.24854266397256</v>
      </c>
      <c r="AM53" s="62">
        <f t="shared" si="5"/>
        <v>703.58187599730581</v>
      </c>
      <c r="AN53" s="62">
        <f ca="1">AVERAGE(OFFSET($AM$3,0,0,'Données projet'!$E$10+1,1))-AVERAGE(OFFSET($H$3,0,0,'Données projet'!$E$10+1,1))</f>
        <v>295.83974441964551</v>
      </c>
      <c r="AO53" s="62">
        <f t="shared" si="36"/>
        <v>212.24900914818096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79</v>
      </c>
      <c r="AR53" s="17">
        <f>IF(ISNA(VLOOKUP(A53,'Données projet'!$A$61:$I$81,5,0)),0%,VLOOKUP(A53,'Données projet'!$A$61:$I$81,5,0)*VLOOKUP('Données projet'!$B$10,Paramètres!$A$1:$I$89,7,0))</f>
        <v>0.36000000000000004</v>
      </c>
      <c r="AS53" s="17">
        <f>IF(ISNA(VLOOKUP(A53,'Données projet'!$A$61:$I$81,6,0)),0%,VLOOKUP(A53,'Données projet'!$A$61:$I$81,6,0)*VLOOKUP('Données projet'!$B$10,Paramètres!$A$1:$I$89,7,0))</f>
        <v>9.0000000000000011E-2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30.975172151002052</v>
      </c>
      <c r="AV53" s="23">
        <f>EXP(-LN(2)/25)*AV52+(1-EXP(-LN(2)/25))/(LN(2)/25)*Calculateur!AQ53*Calculateur!AS53*VLOOKUP('Données projet'!$B$10,Paramètres!$A$1:$I$89,3,0)*0.475*44/12</f>
        <v>17.994000135279769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48.969172286281818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2.1228070175438596</v>
      </c>
      <c r="BD53" s="13">
        <f>IF('Données projet'!$A$88&gt;35,BD52+BC53-BL52,IF(A53&lt;'Données projet'!$A$88,$BA$205^A53,IF(A53='Données projet'!$A$88,'Données projet'!$B$88,BD52+BC53-BL52)))</f>
        <v>106.1403508771931</v>
      </c>
      <c r="BE53" s="14">
        <f>BD53*VLOOKUP('Données projet'!$B$11,Paramètres!$A$1:$I$89,3,0)*VLOOKUP('Données projet'!$B$11,Paramètres!$A$1:$I$89,5,0)</f>
        <v>51.053508771929884</v>
      </c>
      <c r="BF53" s="14">
        <f t="shared" si="37"/>
        <v>14.885501846054462</v>
      </c>
      <c r="BG53" s="22">
        <f t="shared" si="7"/>
        <v>114.84377682632272</v>
      </c>
      <c r="BH53" s="62">
        <f t="shared" si="8"/>
        <v>408.17711015965602</v>
      </c>
      <c r="BI53" s="62">
        <f ca="1">AVERAGE(OFFSET($BH$3,0,0,'Données projet'!$E$11+1,1))-AVERAGE(OFFSET($H$3,0,0,'Données projet'!$E$11+1,1))</f>
        <v>206.96327004330573</v>
      </c>
      <c r="BJ53" s="62">
        <f t="shared" si="38"/>
        <v>106.52590664430284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12.6</v>
      </c>
      <c r="N54" s="14">
        <f>IF('Données projet'!$A$36&gt;35,N53+M54-V53,IF(A54&lt;'Données projet'!$A$36,$K$205^A54,IF(A54='Données projet'!$A$36,'Données projet'!$B$36,N53+M54-V53)))</f>
        <v>514.60000000000025</v>
      </c>
      <c r="O54" s="14">
        <f>N54*VLOOKUP('Données projet'!$B$9,Paramètres!$A$1:$I$89,3,0)*VLOOKUP('Données projet'!$B$9,Paramètres!$A$1:$I$89,5,0)</f>
        <v>287.66140000000013</v>
      </c>
      <c r="P54" s="14">
        <f t="shared" si="33"/>
        <v>68.583530482412016</v>
      </c>
      <c r="Q54" s="22">
        <f t="shared" si="53"/>
        <v>620.45992059020114</v>
      </c>
      <c r="R54" s="62">
        <f t="shared" si="0"/>
        <v>913.79325392353439</v>
      </c>
      <c r="S54" s="62">
        <f ca="1">AVERAGE(OFFSET($R$3,0,0,'Données projet'!$E$9+1,1))-AVERAGE(OFFSET($H$3,0,0,'Données projet'!$E$9+1,1))</f>
        <v>365.70510182727895</v>
      </c>
      <c r="T54" s="62">
        <f t="shared" si="34"/>
        <v>436.23833844962525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62.168124245838882</v>
      </c>
      <c r="AA54" s="23">
        <f>EXP(-LN(2)/25)*AA53+(1-EXP(-LN(2)/25))/(LN(2)/25)*Calculateur!V54*Calculateur!X54*VLOOKUP('Données projet'!$B$9,Paramètres!$A$1:$I$89,3,0)*0.475*44/12</f>
        <v>20.68863960721778</v>
      </c>
      <c r="AB54" s="23">
        <f>EXP(-LN(2)/2)*AB53+(1-EXP(-LN(2)/2))/(LN(2)/2)*V54*Y54*VLOOKUP('Données projet'!$B$9,Paramètres!$A$1:$I$89,3,0)*0.475*44/12</f>
        <v>0</v>
      </c>
      <c r="AC54" s="24">
        <f t="shared" si="3"/>
        <v>82.856763853056663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15.7</v>
      </c>
      <c r="AI54" s="14">
        <f>IF('Données projet'!$A$62&gt;35,AI53+AH54-AQ53,IF(A54&lt;'Données projet'!$A$62,$AF$205^A54,IF(A54='Données projet'!$A$62,'Données projet'!$B$62,AI53+AH54-AQ53)))</f>
        <v>251.7000000000001</v>
      </c>
      <c r="AJ54" s="14">
        <f>AI54*VLOOKUP('Données projet'!$B$10,Paramètres!$A$1:$I$89,3,0)*VLOOKUP('Données projet'!$B$10,Paramètres!$A$1:$I$89,5,0)</f>
        <v>150.51660000000007</v>
      </c>
      <c r="AK54" s="14">
        <f t="shared" si="35"/>
        <v>38.695961323116059</v>
      </c>
      <c r="AL54" s="22">
        <f t="shared" si="4"/>
        <v>329.54521097109392</v>
      </c>
      <c r="AM54" s="62">
        <f t="shared" si="5"/>
        <v>622.87854430442724</v>
      </c>
      <c r="AN54" s="62">
        <f ca="1">AVERAGE(OFFSET($AM$3,0,0,'Données projet'!$E$10+1,1))-AVERAGE(OFFSET($H$3,0,0,'Données projet'!$E$10+1,1))</f>
        <v>295.83974441964551</v>
      </c>
      <c r="AO54" s="62">
        <f t="shared" si="36"/>
        <v>212.24900914818096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30.367767918110385</v>
      </c>
      <c r="AV54" s="23">
        <f>EXP(-LN(2)/25)*AV53+(1-EXP(-LN(2)/25))/(LN(2)/25)*Calculateur!AQ54*Calculateur!AS54*VLOOKUP('Données projet'!$B$10,Paramètres!$A$1:$I$89,3,0)*0.475*44/12</f>
        <v>17.501953255317204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47.869721173427592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2.1228070175438596</v>
      </c>
      <c r="BD54" s="13">
        <f>IF('Données projet'!$A$88&gt;35,BD53+BC54-BL53,IF(A54&lt;'Données projet'!$A$88,$BA$205^A54,IF(A54='Données projet'!$A$88,'Données projet'!$B$88,BD53+BC54-BL53)))</f>
        <v>108.26315789473696</v>
      </c>
      <c r="BE54" s="14">
        <f>BD54*VLOOKUP('Données projet'!$B$11,Paramètres!$A$1:$I$89,3,0)*VLOOKUP('Données projet'!$B$11,Paramètres!$A$1:$I$89,5,0)</f>
        <v>52.074578947368487</v>
      </c>
      <c r="BF54" s="14">
        <f t="shared" si="37"/>
        <v>15.148254491918383</v>
      </c>
      <c r="BG54" s="22">
        <f t="shared" si="7"/>
        <v>117.0797682400913</v>
      </c>
      <c r="BH54" s="62">
        <f t="shared" si="8"/>
        <v>410.41310157342463</v>
      </c>
      <c r="BI54" s="62">
        <f ca="1">AVERAGE(OFFSET($BH$3,0,0,'Données projet'!$E$11+1,1))-AVERAGE(OFFSET($H$3,0,0,'Données projet'!$E$11+1,1))</f>
        <v>206.96327004330573</v>
      </c>
      <c r="BJ54" s="62">
        <f t="shared" si="38"/>
        <v>106.52590664430284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12.6</v>
      </c>
      <c r="N55" s="14">
        <f>IF('Données projet'!$A$36&gt;35,N54+M55-V54,IF(A55&lt;'Données projet'!$A$36,$K$205^A55,IF(A55='Données projet'!$A$36,'Données projet'!$B$36,N54+M55-V54)))</f>
        <v>527.20000000000027</v>
      </c>
      <c r="O55" s="14">
        <f>N55*VLOOKUP('Données projet'!$B$9,Paramètres!$A$1:$I$89,3,0)*VLOOKUP('Données projet'!$B$9,Paramètres!$A$1:$I$89,5,0)</f>
        <v>294.70480000000015</v>
      </c>
      <c r="P55" s="14">
        <f t="shared" si="33"/>
        <v>70.065238256033226</v>
      </c>
      <c r="Q55" s="22">
        <f t="shared" si="53"/>
        <v>635.30781662925813</v>
      </c>
      <c r="R55" s="62">
        <f t="shared" si="0"/>
        <v>928.6411499625915</v>
      </c>
      <c r="S55" s="62">
        <f ca="1">AVERAGE(OFFSET($R$3,0,0,'Données projet'!$E$9+1,1))-AVERAGE(OFFSET($H$3,0,0,'Données projet'!$E$9+1,1))</f>
        <v>365.70510182727895</v>
      </c>
      <c r="T55" s="62">
        <f t="shared" si="34"/>
        <v>436.23833844962525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60.949045248189599</v>
      </c>
      <c r="AA55" s="23">
        <f>EXP(-LN(2)/25)*AA54+(1-EXP(-LN(2)/25))/(LN(2)/25)*Calculateur!V55*Calculateur!X55*VLOOKUP('Données projet'!$B$9,Paramètres!$A$1:$I$89,3,0)*0.475*44/12</f>
        <v>20.122907669190138</v>
      </c>
      <c r="AB55" s="23">
        <f>EXP(-LN(2)/2)*AB54+(1-EXP(-LN(2)/2))/(LN(2)/2)*V55*Y55*VLOOKUP('Données projet'!$B$9,Paramètres!$A$1:$I$89,3,0)*0.475*44/12</f>
        <v>0</v>
      </c>
      <c r="AC55" s="24">
        <f t="shared" si="3"/>
        <v>81.071952917379733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15.7</v>
      </c>
      <c r="AI55" s="14">
        <f>IF('Données projet'!$A$62&gt;35,AI54+AH55-AQ54,IF(A55&lt;'Données projet'!$A$62,$AF$205^A55,IF(A55='Données projet'!$A$62,'Données projet'!$B$62,AI54+AH55-AQ54)))</f>
        <v>267.40000000000009</v>
      </c>
      <c r="AJ55" s="14">
        <f>AI55*VLOOKUP('Données projet'!$B$10,Paramètres!$A$1:$I$89,3,0)*VLOOKUP('Données projet'!$B$10,Paramètres!$A$1:$I$89,5,0)</f>
        <v>159.90520000000006</v>
      </c>
      <c r="AK55" s="14">
        <f t="shared" si="35"/>
        <v>40.821132264574658</v>
      </c>
      <c r="AL55" s="22">
        <f t="shared" si="4"/>
        <v>349.59836202746766</v>
      </c>
      <c r="AM55" s="62">
        <f t="shared" si="5"/>
        <v>642.93169536080097</v>
      </c>
      <c r="AN55" s="62">
        <f ca="1">AVERAGE(OFFSET($AM$3,0,0,'Données projet'!$E$10+1,1))-AVERAGE(OFFSET($H$3,0,0,'Données projet'!$E$10+1,1))</f>
        <v>295.83974441964551</v>
      </c>
      <c r="AO55" s="62">
        <f t="shared" si="36"/>
        <v>212.24900914818096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29.772274511745724</v>
      </c>
      <c r="AV55" s="23">
        <f>EXP(-LN(2)/25)*AV54+(1-EXP(-LN(2)/25))/(LN(2)/25)*Calculateur!AQ55*Calculateur!AS55*VLOOKUP('Données projet'!$B$10,Paramètres!$A$1:$I$89,3,0)*0.475*44/12</f>
        <v>17.023361423162836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46.79563593490856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2.1228070175438596</v>
      </c>
      <c r="BD55" s="13">
        <f>IF('Données projet'!$A$88&gt;35,BD54+BC55-BL54,IF(A55&lt;'Données projet'!$A$88,$BA$205^A55,IF(A55='Données projet'!$A$88,'Données projet'!$B$88,BD54+BC55-BL54)))</f>
        <v>110.38596491228083</v>
      </c>
      <c r="BE55" s="14">
        <f>BD55*VLOOKUP('Données projet'!$B$11,Paramètres!$A$1:$I$89,3,0)*VLOOKUP('Données projet'!$B$11,Paramètres!$A$1:$I$89,5,0)</f>
        <v>53.095649122807075</v>
      </c>
      <c r="BF55" s="14">
        <f t="shared" si="37"/>
        <v>15.410408086767402</v>
      </c>
      <c r="BG55" s="22">
        <f t="shared" si="7"/>
        <v>119.31471630667555</v>
      </c>
      <c r="BH55" s="62">
        <f t="shared" si="8"/>
        <v>412.64804964000888</v>
      </c>
      <c r="BI55" s="62">
        <f ca="1">AVERAGE(OFFSET($BH$3,0,0,'Données projet'!$E$11+1,1))-AVERAGE(OFFSET($H$3,0,0,'Données projet'!$E$11+1,1))</f>
        <v>206.96327004330573</v>
      </c>
      <c r="BJ55" s="62">
        <f t="shared" si="38"/>
        <v>106.52590664430284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12.6</v>
      </c>
      <c r="N56" s="14">
        <f>IF('Données projet'!$A$36&gt;35,N55+M56-V55,IF(A56&lt;'Données projet'!$A$36,$K$205^A56,IF(A56='Données projet'!$A$36,'Données projet'!$B$36,N55+M56-V55)))</f>
        <v>539.8000000000003</v>
      </c>
      <c r="O56" s="14">
        <f>N56*VLOOKUP('Données projet'!$B$9,Paramètres!$A$1:$I$89,3,0)*VLOOKUP('Données projet'!$B$9,Paramètres!$A$1:$I$89,5,0)</f>
        <v>301.74820000000017</v>
      </c>
      <c r="P56" s="14">
        <f t="shared" si="33"/>
        <v>71.542829318170703</v>
      </c>
      <c r="Q56" s="22">
        <f t="shared" si="53"/>
        <v>650.14854272914761</v>
      </c>
      <c r="R56" s="62">
        <f t="shared" si="0"/>
        <v>943.48187606248098</v>
      </c>
      <c r="S56" s="62">
        <f ca="1">AVERAGE(OFFSET($R$3,0,0,'Données projet'!$E$9+1,1))-AVERAGE(OFFSET($H$3,0,0,'Données projet'!$E$9+1,1))</f>
        <v>365.70510182727895</v>
      </c>
      <c r="T56" s="62">
        <f t="shared" si="34"/>
        <v>436.23833844962525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59.75387164611945</v>
      </c>
      <c r="AA56" s="23">
        <f>EXP(-LN(2)/25)*AA55+(1-EXP(-LN(2)/25))/(LN(2)/25)*Calculateur!V56*Calculateur!X56*VLOOKUP('Données projet'!$B$9,Paramètres!$A$1:$I$89,3,0)*0.475*44/12</f>
        <v>19.572645700758411</v>
      </c>
      <c r="AB56" s="23">
        <f>EXP(-LN(2)/2)*AB55+(1-EXP(-LN(2)/2))/(LN(2)/2)*V56*Y56*VLOOKUP('Données projet'!$B$9,Paramètres!$A$1:$I$89,3,0)*0.475*44/12</f>
        <v>0</v>
      </c>
      <c r="AC56" s="24">
        <f t="shared" si="3"/>
        <v>79.326517346877864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15.7</v>
      </c>
      <c r="AI56" s="14">
        <f>IF('Données projet'!$A$62&gt;35,AI55+AH56-AQ55,IF(A56&lt;'Données projet'!$A$62,$AF$205^A56,IF(A56='Données projet'!$A$62,'Données projet'!$B$62,AI55+AH56-AQ55)))</f>
        <v>283.10000000000008</v>
      </c>
      <c r="AJ56" s="14">
        <f>AI56*VLOOKUP('Données projet'!$B$10,Paramètres!$A$1:$I$89,3,0)*VLOOKUP('Données projet'!$B$10,Paramètres!$A$1:$I$89,5,0)</f>
        <v>169.29380000000009</v>
      </c>
      <c r="AK56" s="14">
        <f t="shared" si="35"/>
        <v>42.931819978697277</v>
      </c>
      <c r="AL56" s="22">
        <f t="shared" si="4"/>
        <v>369.6262881295645</v>
      </c>
      <c r="AM56" s="62">
        <f t="shared" si="5"/>
        <v>662.95962146289776</v>
      </c>
      <c r="AN56" s="62">
        <f ca="1">AVERAGE(OFFSET($AM$3,0,0,'Données projet'!$E$10+1,1))-AVERAGE(OFFSET($H$3,0,0,'Données projet'!$E$10+1,1))</f>
        <v>295.83974441964551</v>
      </c>
      <c r="AO56" s="62">
        <f t="shared" si="36"/>
        <v>212.24900914818096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29.188458367864762</v>
      </c>
      <c r="AV56" s="23">
        <f>EXP(-LN(2)/25)*AV55+(1-EXP(-LN(2)/25))/(LN(2)/25)*Calculateur!AQ56*Calculateur!AS56*VLOOKUP('Données projet'!$B$10,Paramètres!$A$1:$I$89,3,0)*0.475*44/12</f>
        <v>16.55785670982678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45.746315077691541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2.1228070175438596</v>
      </c>
      <c r="BD56" s="13">
        <f>IF('Données projet'!$A$88&gt;35,BD55+BC56-BL55,IF(A56&lt;'Données projet'!$A$88,$BA$205^A56,IF(A56='Données projet'!$A$88,'Données projet'!$B$88,BD55+BC56-BL55)))</f>
        <v>112.50877192982469</v>
      </c>
      <c r="BE56" s="14">
        <f>BD56*VLOOKUP('Données projet'!$B$11,Paramètres!$A$1:$I$89,3,0)*VLOOKUP('Données projet'!$B$11,Paramètres!$A$1:$I$89,5,0)</f>
        <v>54.116719298245677</v>
      </c>
      <c r="BF56" s="14">
        <f t="shared" si="37"/>
        <v>15.671975478979887</v>
      </c>
      <c r="BG56" s="22">
        <f t="shared" si="7"/>
        <v>121.54864340366784</v>
      </c>
      <c r="BH56" s="62">
        <f t="shared" si="8"/>
        <v>414.88197673700114</v>
      </c>
      <c r="BI56" s="62">
        <f ca="1">AVERAGE(OFFSET($BH$3,0,0,'Données projet'!$E$11+1,1))-AVERAGE(OFFSET($H$3,0,0,'Données projet'!$E$11+1,1))</f>
        <v>206.96327004330573</v>
      </c>
      <c r="BJ56" s="62">
        <f t="shared" si="38"/>
        <v>106.52590664430284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12.6</v>
      </c>
      <c r="N57" s="14">
        <f>IF('Données projet'!$A$36&gt;35,N56+M57-V56,IF(A57&lt;'Données projet'!$A$36,$K$205^A57,IF(A57='Données projet'!$A$36,'Données projet'!$B$36,N56+M57-V56)))</f>
        <v>552.40000000000032</v>
      </c>
      <c r="O57" s="14">
        <f>N57*VLOOKUP('Données projet'!$B$9,Paramètres!$A$1:$I$89,3,0)*VLOOKUP('Données projet'!$B$9,Paramètres!$A$1:$I$89,5,0)</f>
        <v>308.79160000000019</v>
      </c>
      <c r="P57" s="14">
        <f t="shared" si="33"/>
        <v>73.016410820210879</v>
      </c>
      <c r="Q57" s="22">
        <f t="shared" si="53"/>
        <v>664.98228551186753</v>
      </c>
      <c r="R57" s="62">
        <f t="shared" si="0"/>
        <v>958.31561884520079</v>
      </c>
      <c r="S57" s="62">
        <f ca="1">AVERAGE(OFFSET($R$3,0,0,'Données projet'!$E$9+1,1))-AVERAGE(OFFSET($H$3,0,0,'Données projet'!$E$9+1,1))</f>
        <v>365.70510182727895</v>
      </c>
      <c r="T57" s="62">
        <f t="shared" si="34"/>
        <v>436.23833844962525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58.582134669401981</v>
      </c>
      <c r="AA57" s="23">
        <f>EXP(-LN(2)/25)*AA56+(1-EXP(-LN(2)/25))/(LN(2)/25)*Calculateur!V57*Calculateur!X57*VLOOKUP('Données projet'!$B$9,Paramètres!$A$1:$I$89,3,0)*0.475*44/12</f>
        <v>19.037430674790468</v>
      </c>
      <c r="AB57" s="23">
        <f>EXP(-LN(2)/2)*AB56+(1-EXP(-LN(2)/2))/(LN(2)/2)*V57*Y57*VLOOKUP('Données projet'!$B$9,Paramètres!$A$1:$I$89,3,0)*0.475*44/12</f>
        <v>0</v>
      </c>
      <c r="AC57" s="24">
        <f t="shared" si="3"/>
        <v>77.619565344192452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15.7</v>
      </c>
      <c r="AI57" s="14">
        <f>IF('Données projet'!$A$62&gt;35,AI56+AH57-AQ56,IF(A57&lt;'Données projet'!$A$62,$AF$205^A57,IF(A57='Données projet'!$A$62,'Données projet'!$B$62,AI56+AH57-AQ56)))</f>
        <v>298.80000000000007</v>
      </c>
      <c r="AJ57" s="14">
        <f>AI57*VLOOKUP('Données projet'!$B$10,Paramètres!$A$1:$I$89,3,0)*VLOOKUP('Données projet'!$B$10,Paramètres!$A$1:$I$89,5,0)</f>
        <v>178.68240000000006</v>
      </c>
      <c r="AK57" s="14">
        <f t="shared" si="35"/>
        <v>45.028919214980071</v>
      </c>
      <c r="AL57" s="22">
        <f t="shared" si="4"/>
        <v>389.63054763275704</v>
      </c>
      <c r="AM57" s="62">
        <f t="shared" si="5"/>
        <v>682.9638809660903</v>
      </c>
      <c r="AN57" s="62">
        <f ca="1">AVERAGE(OFFSET($AM$3,0,0,'Données projet'!$E$10+1,1))-AVERAGE(OFFSET($H$3,0,0,'Données projet'!$E$10+1,1))</f>
        <v>295.83974441964551</v>
      </c>
      <c r="AO57" s="62">
        <f t="shared" si="36"/>
        <v>212.24900914818096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28.616090502472616</v>
      </c>
      <c r="AV57" s="23">
        <f>EXP(-LN(2)/25)*AV56+(1-EXP(-LN(2)/25))/(LN(2)/25)*Calculateur!AQ57*Calculateur!AS57*VLOOKUP('Données projet'!$B$10,Paramètres!$A$1:$I$89,3,0)*0.475*44/12</f>
        <v>16.105081247356726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44.721171749829338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2.1228070175438596</v>
      </c>
      <c r="BD57" s="13">
        <f>IF('Données projet'!$A$88&gt;35,BD56+BC57-BL56,IF(A57&lt;'Données projet'!$A$88,$BA$205^A57,IF(A57='Données projet'!$A$88,'Données projet'!$B$88,BD56+BC57-BL56)))</f>
        <v>114.63157894736855</v>
      </c>
      <c r="BE57" s="14">
        <f>BD57*VLOOKUP('Données projet'!$B$11,Paramètres!$A$1:$I$89,3,0)*VLOOKUP('Données projet'!$B$11,Paramètres!$A$1:$I$89,5,0)</f>
        <v>55.137789473684272</v>
      </c>
      <c r="BF57" s="14">
        <f t="shared" si="37"/>
        <v>15.932969004343642</v>
      </c>
      <c r="BG57" s="22">
        <f t="shared" si="7"/>
        <v>123.78157101589859</v>
      </c>
      <c r="BH57" s="62">
        <f t="shared" si="8"/>
        <v>417.11490434923189</v>
      </c>
      <c r="BI57" s="62">
        <f ca="1">AVERAGE(OFFSET($BH$3,0,0,'Données projet'!$E$11+1,1))-AVERAGE(OFFSET($H$3,0,0,'Données projet'!$E$11+1,1))</f>
        <v>206.96327004330573</v>
      </c>
      <c r="BJ57" s="62">
        <f t="shared" si="38"/>
        <v>106.52590664430284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565</v>
      </c>
      <c r="L58" s="13">
        <f>VLOOKUP(A58,'Données projet'!$A$35:$I$55,9,0)</f>
        <v>12.6</v>
      </c>
      <c r="M58" s="13">
        <f t="array" ref="M58">INDEX(L:L,MIN(IF(ISNUMBER(L58:L254),ROW(L58:L254),"")))</f>
        <v>12.6</v>
      </c>
      <c r="N58" s="14">
        <f>IF('Données projet'!$A$36&gt;35,N57+M58-V57,IF(A58&lt;'Données projet'!$A$36,$K$205^A58,IF(A58='Données projet'!$A$36,'Données projet'!$B$36,N57+M58-V57)))</f>
        <v>565.00000000000034</v>
      </c>
      <c r="O58" s="14">
        <f>N58*VLOOKUP('Données projet'!$B$9,Paramètres!$A$1:$I$89,3,0)*VLOOKUP('Données projet'!$B$9,Paramètres!$A$1:$I$89,5,0)</f>
        <v>315.83500000000021</v>
      </c>
      <c r="P58" s="14">
        <f t="shared" si="33"/>
        <v>74.486084746410782</v>
      </c>
      <c r="Q58" s="22">
        <f t="shared" si="53"/>
        <v>679.80922259999909</v>
      </c>
      <c r="R58" s="62">
        <f t="shared" si="0"/>
        <v>973.14255593333246</v>
      </c>
      <c r="S58" s="62">
        <f ca="1">AVERAGE(OFFSET($R$3,0,0,'Données projet'!$E$9+1,1))-AVERAGE(OFFSET($H$3,0,0,'Données projet'!$E$9+1,1))</f>
        <v>365.70510182727895</v>
      </c>
      <c r="T58" s="62">
        <f t="shared" si="34"/>
        <v>436.23833844962525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37</v>
      </c>
      <c r="W58" s="17">
        <f>IF(ISNA(VLOOKUP(A58,'Données projet'!$A$35:$I$55,5,0)),0%,VLOOKUP(A58,'Données projet'!$A$35:$I$55,5,0)*VLOOKUP('Données projet'!$B$9,Paramètres!$A$1:$I$89,7,0))</f>
        <v>0.49500000000000005</v>
      </c>
      <c r="X58" s="17">
        <f>IF(ISNA(VLOOKUP(A58,'Données projet'!$A$35:$I$55,6,0)),0%,VLOOKUP(A58,'Données projet'!$A$35:$I$55,6,0)*VLOOKUP('Données projet'!$B$9,Paramètres!$A$1:$I$89,7,0))</f>
        <v>5.5000000000000007E-2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71.01485439287768</v>
      </c>
      <c r="AA58" s="23">
        <f>EXP(-LN(2)/25)*AA57+(1-EXP(-LN(2)/25))/(LN(2)/25)*Calculateur!V58*Calculateur!X58*VLOOKUP('Données projet'!$B$9,Paramètres!$A$1:$I$89,3,0)*0.475*44/12</f>
        <v>20.019962708789613</v>
      </c>
      <c r="AB58" s="23">
        <f>EXP(-LN(2)/2)*AB57+(1-EXP(-LN(2)/2))/(LN(2)/2)*V58*Y58*VLOOKUP('Données projet'!$B$9,Paramètres!$A$1:$I$89,3,0)*0.475*44/12</f>
        <v>0</v>
      </c>
      <c r="AC58" s="24">
        <f t="shared" si="3"/>
        <v>91.034817101667301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15.7</v>
      </c>
      <c r="AI58" s="14">
        <f>IF('Données projet'!$A$62&gt;35,AI57+AH58-AQ57,IF(A58&lt;'Données projet'!$A$62,$AF$205^A58,IF(A58='Données projet'!$A$62,'Données projet'!$B$62,AI57+AH58-AQ57)))</f>
        <v>314.50000000000006</v>
      </c>
      <c r="AJ58" s="14">
        <f>AI58*VLOOKUP('Données projet'!$B$10,Paramètres!$A$1:$I$89,3,0)*VLOOKUP('Données projet'!$B$10,Paramètres!$A$1:$I$89,5,0)</f>
        <v>188.07100000000005</v>
      </c>
      <c r="AK58" s="14">
        <f t="shared" si="35"/>
        <v>47.113225385753083</v>
      </c>
      <c r="AL58" s="22">
        <f t="shared" si="4"/>
        <v>409.61252588018669</v>
      </c>
      <c r="AM58" s="62">
        <f t="shared" si="5"/>
        <v>702.94585921351995</v>
      </c>
      <c r="AN58" s="62">
        <f ca="1">AVERAGE(OFFSET($AM$3,0,0,'Données projet'!$E$10+1,1))-AVERAGE(OFFSET($H$3,0,0,'Données projet'!$E$10+1,1))</f>
        <v>295.83974441964551</v>
      </c>
      <c r="AO58" s="62">
        <f t="shared" si="36"/>
        <v>212.24900914818096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28.054946421810886</v>
      </c>
      <c r="AV58" s="23">
        <f>EXP(-LN(2)/25)*AV57+(1-EXP(-LN(2)/25))/(LN(2)/25)*Calculateur!AQ58*Calculateur!AS58*VLOOKUP('Données projet'!$B$10,Paramètres!$A$1:$I$89,3,0)*0.475*44/12</f>
        <v>15.664686953718341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43.719633375529227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2.1228070175438596</v>
      </c>
      <c r="BD58" s="13">
        <f>IF('Données projet'!$A$88&gt;35,BD57+BC58-BL57,IF(A58&lt;'Données projet'!$A$88,$BA$205^A58,IF(A58='Données projet'!$A$88,'Données projet'!$B$88,BD57+BC58-BL57)))</f>
        <v>116.75438596491242</v>
      </c>
      <c r="BE58" s="14">
        <f>BD58*VLOOKUP('Données projet'!$B$11,Paramètres!$A$1:$I$89,3,0)*VLOOKUP('Données projet'!$B$11,Paramètres!$A$1:$I$89,5,0)</f>
        <v>56.158859649122874</v>
      </c>
      <c r="BF58" s="14">
        <f t="shared" si="37"/>
        <v>16.193400515612975</v>
      </c>
      <c r="BG58" s="22">
        <f t="shared" si="7"/>
        <v>126.01351978691493</v>
      </c>
      <c r="BH58" s="62">
        <f t="shared" si="8"/>
        <v>419.34685312024823</v>
      </c>
      <c r="BI58" s="62">
        <f ca="1">AVERAGE(OFFSET($BH$3,0,0,'Données projet'!$E$11+1,1))-AVERAGE(OFFSET($H$3,0,0,'Données projet'!$E$11+1,1))</f>
        <v>206.96327004330573</v>
      </c>
      <c r="BJ58" s="62">
        <f t="shared" si="38"/>
        <v>106.52590664430284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7.8</v>
      </c>
      <c r="N59" s="14">
        <f>IF('Données projet'!$A$36&gt;35,N58+M59-V58,IF(A59&lt;'Données projet'!$A$36,$K$205^A59,IF(A59='Données projet'!$A$36,'Données projet'!$B$36,N58+M59-V58)))</f>
        <v>535.8000000000003</v>
      </c>
      <c r="O59" s="14">
        <f>N59*VLOOKUP('Données projet'!$B$9,Paramètres!$A$1:$I$89,3,0)*VLOOKUP('Données projet'!$B$9,Paramètres!$A$1:$I$89,5,0)</f>
        <v>299.51220000000018</v>
      </c>
      <c r="P59" s="14">
        <f t="shared" si="33"/>
        <v>71.074192175878977</v>
      </c>
      <c r="Q59" s="22">
        <f t="shared" si="53"/>
        <v>645.43796637298954</v>
      </c>
      <c r="R59" s="62">
        <f t="shared" si="0"/>
        <v>938.77129970632291</v>
      </c>
      <c r="S59" s="62">
        <f ca="1">AVERAGE(OFFSET($R$3,0,0,'Données projet'!$E$9+1,1))-AVERAGE(OFFSET($H$3,0,0,'Données projet'!$E$9+1,1))</f>
        <v>365.70510182727895</v>
      </c>
      <c r="T59" s="62">
        <f t="shared" si="34"/>
        <v>436.23833844962525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69.622296413017551</v>
      </c>
      <c r="AA59" s="23">
        <f>EXP(-LN(2)/25)*AA58+(1-EXP(-LN(2)/25))/(LN(2)/25)*Calculateur!V59*Calculateur!X59*VLOOKUP('Données projet'!$B$9,Paramètres!$A$1:$I$89,3,0)*0.475*44/12</f>
        <v>19.472515775713678</v>
      </c>
      <c r="AB59" s="23">
        <f>EXP(-LN(2)/2)*AB58+(1-EXP(-LN(2)/2))/(LN(2)/2)*V59*Y59*VLOOKUP('Données projet'!$B$9,Paramètres!$A$1:$I$89,3,0)*0.475*44/12</f>
        <v>0</v>
      </c>
      <c r="AC59" s="24">
        <f t="shared" si="3"/>
        <v>89.094812188731225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15.7</v>
      </c>
      <c r="AI59" s="14">
        <f>IF('Données projet'!$A$62&gt;35,AI58+AH59-AQ58,IF(A59&lt;'Données projet'!$A$62,$AF$205^A59,IF(A59='Données projet'!$A$62,'Données projet'!$B$62,AI58+AH59-AQ58)))</f>
        <v>330.20000000000005</v>
      </c>
      <c r="AJ59" s="14">
        <f>AI59*VLOOKUP('Données projet'!$B$10,Paramètres!$A$1:$I$89,3,0)*VLOOKUP('Données projet'!$B$10,Paramètres!$A$1:$I$89,5,0)</f>
        <v>197.45960000000005</v>
      </c>
      <c r="AK59" s="14">
        <f t="shared" si="35"/>
        <v>49.185450002435452</v>
      </c>
      <c r="AL59" s="22">
        <f t="shared" si="4"/>
        <v>429.57346208757514</v>
      </c>
      <c r="AM59" s="62">
        <f t="shared" si="5"/>
        <v>722.90679542090845</v>
      </c>
      <c r="AN59" s="62">
        <f ca="1">AVERAGE(OFFSET($AM$3,0,0,'Données projet'!$E$10+1,1))-AVERAGE(OFFSET($H$3,0,0,'Données projet'!$E$10+1,1))</f>
        <v>295.83974441964551</v>
      </c>
      <c r="AO59" s="62">
        <f t="shared" si="36"/>
        <v>212.24900914818096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27.504806034306839</v>
      </c>
      <c r="AV59" s="23">
        <f>EXP(-LN(2)/25)*AV58+(1-EXP(-LN(2)/25))/(LN(2)/25)*Calculateur!AQ59*Calculateur!AS59*VLOOKUP('Données projet'!$B$10,Paramètres!$A$1:$I$89,3,0)*0.475*44/12</f>
        <v>15.236335265198829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42.741141299505671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2.1228070175438596</v>
      </c>
      <c r="BD59" s="13">
        <f>IF('Données projet'!$A$88&gt;35,BD58+BC59-BL58,IF(A59&lt;'Données projet'!$A$88,$BA$205^A59,IF(A59='Données projet'!$A$88,'Données projet'!$B$88,BD58+BC59-BL58)))</f>
        <v>118.87719298245628</v>
      </c>
      <c r="BE59" s="14">
        <f>BD59*VLOOKUP('Données projet'!$B$11,Paramètres!$A$1:$I$89,3,0)*VLOOKUP('Données projet'!$B$11,Paramètres!$A$1:$I$89,5,0)</f>
        <v>57.179929824561469</v>
      </c>
      <c r="BF59" s="14">
        <f t="shared" si="37"/>
        <v>16.453281409855339</v>
      </c>
      <c r="BG59" s="22">
        <f t="shared" si="7"/>
        <v>128.24450956660925</v>
      </c>
      <c r="BH59" s="62">
        <f t="shared" si="8"/>
        <v>421.57784289994254</v>
      </c>
      <c r="BI59" s="62">
        <f ca="1">AVERAGE(OFFSET($BH$3,0,0,'Données projet'!$E$11+1,1))-AVERAGE(OFFSET($H$3,0,0,'Données projet'!$E$11+1,1))</f>
        <v>206.96327004330573</v>
      </c>
      <c r="BJ59" s="62">
        <f t="shared" si="38"/>
        <v>106.52590664430284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7.8</v>
      </c>
      <c r="N60" s="14">
        <f>IF('Données projet'!$A$36&gt;35,N59+M60-V59,IF(A60&lt;'Données projet'!$A$36,$K$205^A60,IF(A60='Données projet'!$A$36,'Données projet'!$B$36,N59+M60-V59)))</f>
        <v>543.60000000000025</v>
      </c>
      <c r="O60" s="14">
        <f>N60*VLOOKUP('Données projet'!$B$9,Paramètres!$A$1:$I$89,3,0)*VLOOKUP('Données projet'!$B$9,Paramètres!$A$1:$I$89,5,0)</f>
        <v>303.87240000000014</v>
      </c>
      <c r="P60" s="14">
        <f t="shared" si="33"/>
        <v>71.987660301827333</v>
      </c>
      <c r="Q60" s="22">
        <f t="shared" si="53"/>
        <v>654.62293835901619</v>
      </c>
      <c r="R60" s="62">
        <f t="shared" si="0"/>
        <v>947.95627169234945</v>
      </c>
      <c r="S60" s="62">
        <f ca="1">AVERAGE(OFFSET($R$3,0,0,'Données projet'!$E$9+1,1))-AVERAGE(OFFSET($H$3,0,0,'Données projet'!$E$9+1,1))</f>
        <v>365.70510182727895</v>
      </c>
      <c r="T60" s="62">
        <f t="shared" si="34"/>
        <v>436.23833844962525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68.257045645765984</v>
      </c>
      <c r="AA60" s="23">
        <f>EXP(-LN(2)/25)*AA59+(1-EXP(-LN(2)/25))/(LN(2)/25)*Calculateur!V60*Calculateur!X60*VLOOKUP('Données projet'!$B$9,Paramètres!$A$1:$I$89,3,0)*0.475*44/12</f>
        <v>18.940038807811689</v>
      </c>
      <c r="AB60" s="23">
        <f>EXP(-LN(2)/2)*AB59+(1-EXP(-LN(2)/2))/(LN(2)/2)*V60*Y60*VLOOKUP('Données projet'!$B$9,Paramètres!$A$1:$I$89,3,0)*0.475*44/12</f>
        <v>0</v>
      </c>
      <c r="AC60" s="24">
        <f t="shared" si="3"/>
        <v>87.197084453577673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15.7</v>
      </c>
      <c r="AI60" s="14">
        <f>IF('Données projet'!$A$62&gt;35,AI59+AH60-AQ59,IF(A60&lt;'Données projet'!$A$62,$AF$205^A60,IF(A60='Données projet'!$A$62,'Données projet'!$B$62,AI59+AH60-AQ59)))</f>
        <v>345.90000000000003</v>
      </c>
      <c r="AJ60" s="14">
        <f>AI60*VLOOKUP('Données projet'!$B$10,Paramètres!$A$1:$I$89,3,0)*VLOOKUP('Données projet'!$B$10,Paramètres!$A$1:$I$89,5,0)</f>
        <v>206.84820000000005</v>
      </c>
      <c r="AK60" s="14">
        <f t="shared" si="35"/>
        <v>51.246233092829954</v>
      </c>
      <c r="AL60" s="22">
        <f t="shared" si="4"/>
        <v>449.51447097001227</v>
      </c>
      <c r="AM60" s="62">
        <f t="shared" si="5"/>
        <v>742.84780430334558</v>
      </c>
      <c r="AN60" s="62">
        <f ca="1">AVERAGE(OFFSET($AM$3,0,0,'Données projet'!$E$10+1,1))-AVERAGE(OFFSET($H$3,0,0,'Données projet'!$E$10+1,1))</f>
        <v>295.83974441964551</v>
      </c>
      <c r="AO60" s="62">
        <f t="shared" si="36"/>
        <v>212.24900914818096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26.965453564249241</v>
      </c>
      <c r="AV60" s="23">
        <f>EXP(-LN(2)/25)*AV59+(1-EXP(-LN(2)/25))/(LN(2)/25)*Calculateur!AQ60*Calculateur!AS60*VLOOKUP('Données projet'!$B$10,Paramètres!$A$1:$I$89,3,0)*0.475*44/12</f>
        <v>14.819696876127917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41.785150440377159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>
        <f>VLOOKUP(A60,'Données projet'!$A$87:$I$107,2,0)</f>
        <v>121</v>
      </c>
      <c r="BB60" s="13">
        <f>VLOOKUP(A60,'Données projet'!$A$87:$I$107,9,0)</f>
        <v>2.1228070175438596</v>
      </c>
      <c r="BC60" s="13">
        <f t="array" ref="BC60">INDEX(BB:BB,MIN(IF(ISNUMBER(BB60:BB256),ROW(BB60:BB256),"")))</f>
        <v>2.1228070175438596</v>
      </c>
      <c r="BD60" s="13">
        <f>IF('Données projet'!$A$88&gt;35,BD59+BC60-BL59,IF(A60&lt;'Données projet'!$A$88,$BA$205^A60,IF(A60='Données projet'!$A$88,'Données projet'!$B$88,BD59+BC60-BL59)))</f>
        <v>121.00000000000014</v>
      </c>
      <c r="BE60" s="14">
        <f>BD60*VLOOKUP('Données projet'!$B$11,Paramètres!$A$1:$I$89,3,0)*VLOOKUP('Données projet'!$B$11,Paramètres!$A$1:$I$89,5,0)</f>
        <v>58.201000000000072</v>
      </c>
      <c r="BF60" s="14">
        <f t="shared" si="37"/>
        <v>16.71262265378931</v>
      </c>
      <c r="BG60" s="22">
        <f t="shared" si="7"/>
        <v>130.47455945534986</v>
      </c>
      <c r="BH60" s="62">
        <f t="shared" si="8"/>
        <v>423.80789278868315</v>
      </c>
      <c r="BI60" s="62">
        <f ca="1">AVERAGE(OFFSET($BH$3,0,0,'Données projet'!$E$11+1,1))-AVERAGE(OFFSET($H$3,0,0,'Données projet'!$E$11+1,1))</f>
        <v>206.96327004330573</v>
      </c>
      <c r="BJ60" s="62">
        <f t="shared" si="38"/>
        <v>106.52590664430284</v>
      </c>
      <c r="BK60" s="16">
        <f>IF(ISNA(VLOOKUP(A60,'Données projet'!$A$87:$I$107,3,0)),0,VLOOKUP(A60,'Données projet'!$A$87:$I$107,3,0))</f>
        <v>1</v>
      </c>
      <c r="BL60" s="16">
        <f>IF(ISNA(VLOOKUP(A60,'Données projet'!$A$87:$I$107,4,0)),0,VLOOKUP(A60,'Données projet'!$A$87:$I$107,4,0))</f>
        <v>25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1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13.61509337775575</v>
      </c>
      <c r="BS60" s="24">
        <f t="shared" si="9"/>
        <v>13.61509337775575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7.8</v>
      </c>
      <c r="N61" s="14">
        <f>IF('Données projet'!$A$36&gt;35,N60+M61-V60,IF(A61&lt;'Données projet'!$A$36,$K$205^A61,IF(A61='Données projet'!$A$36,'Données projet'!$B$36,N60+M61-V60)))</f>
        <v>551.4000000000002</v>
      </c>
      <c r="O61" s="14">
        <f>N61*VLOOKUP('Données projet'!$B$9,Paramètres!$A$1:$I$89,3,0)*VLOOKUP('Données projet'!$B$9,Paramètres!$A$1:$I$89,5,0)</f>
        <v>308.2326000000001</v>
      </c>
      <c r="P61" s="14">
        <f t="shared" si="33"/>
        <v>72.899603972589205</v>
      </c>
      <c r="Q61" s="22">
        <f t="shared" si="53"/>
        <v>663.80525525225971</v>
      </c>
      <c r="R61" s="62">
        <f t="shared" si="0"/>
        <v>957.13858858559297</v>
      </c>
      <c r="S61" s="62">
        <f ca="1">AVERAGE(OFFSET($R$3,0,0,'Données projet'!$E$9+1,1))-AVERAGE(OFFSET($H$3,0,0,'Données projet'!$E$9+1,1))</f>
        <v>365.70510182727895</v>
      </c>
      <c r="T61" s="62">
        <f t="shared" si="34"/>
        <v>436.23833844962525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66.918566613339465</v>
      </c>
      <c r="AA61" s="23">
        <f>EXP(-LN(2)/25)*AA60+(1-EXP(-LN(2)/25))/(LN(2)/25)*Calculateur!V61*Calculateur!X61*VLOOKUP('Données projet'!$B$9,Paramètres!$A$1:$I$89,3,0)*0.475*44/12</f>
        <v>18.422122450598724</v>
      </c>
      <c r="AB61" s="23">
        <f>EXP(-LN(2)/2)*AB60+(1-EXP(-LN(2)/2))/(LN(2)/2)*V61*Y61*VLOOKUP('Données projet'!$B$9,Paramètres!$A$1:$I$89,3,0)*0.475*44/12</f>
        <v>0</v>
      </c>
      <c r="AC61" s="24">
        <f t="shared" si="3"/>
        <v>85.340689063938186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15.7</v>
      </c>
      <c r="AI61" s="14">
        <f>IF('Données projet'!$A$62&gt;35,AI60+AH61-AQ60,IF(A61&lt;'Données projet'!$A$62,$AF$205^A61,IF(A61='Données projet'!$A$62,'Données projet'!$B$62,AI60+AH61-AQ60)))</f>
        <v>361.6</v>
      </c>
      <c r="AJ61" s="14">
        <f>AI61*VLOOKUP('Données projet'!$B$10,Paramètres!$A$1:$I$89,3,0)*VLOOKUP('Données projet'!$B$10,Paramètres!$A$1:$I$89,5,0)</f>
        <v>216.23680000000002</v>
      </c>
      <c r="AK61" s="14">
        <f t="shared" si="35"/>
        <v>53.296153300267918</v>
      </c>
      <c r="AL61" s="22">
        <f t="shared" si="4"/>
        <v>469.43656033129997</v>
      </c>
      <c r="AM61" s="62">
        <f t="shared" si="5"/>
        <v>762.76989366463329</v>
      </c>
      <c r="AN61" s="62">
        <f ca="1">AVERAGE(OFFSET($AM$3,0,0,'Données projet'!$E$10+1,1))-AVERAGE(OFFSET($H$3,0,0,'Données projet'!$E$10+1,1))</f>
        <v>295.83974441964551</v>
      </c>
      <c r="AO61" s="62">
        <f t="shared" si="36"/>
        <v>212.24900914818096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26.436677467156951</v>
      </c>
      <c r="AV61" s="23">
        <f>EXP(-LN(2)/25)*AV60+(1-EXP(-LN(2)/25))/(LN(2)/25)*Calculateur!AQ61*Calculateur!AS61*VLOOKUP('Données projet'!$B$10,Paramètres!$A$1:$I$89,3,0)*0.475*44/12</f>
        <v>14.414451485716212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40.851128952873161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13.2</v>
      </c>
      <c r="BD61" s="13">
        <f>IF('Données projet'!$A$88&gt;35,BD60+BC61-BL60,IF(A61&lt;'Données projet'!$A$88,$BA$205^A61,IF(A61='Données projet'!$A$88,'Données projet'!$B$88,BD60+BC61-BL60)))</f>
        <v>109.20000000000013</v>
      </c>
      <c r="BE61" s="14">
        <f>BD61*VLOOKUP('Données projet'!$B$11,Paramètres!$A$1:$I$89,3,0)*VLOOKUP('Données projet'!$B$11,Paramètres!$A$1:$I$89,5,0)</f>
        <v>52.525200000000062</v>
      </c>
      <c r="BF61" s="14">
        <f t="shared" si="37"/>
        <v>15.264021799943317</v>
      </c>
      <c r="BG61" s="22">
        <f t="shared" si="7"/>
        <v>118.06622796823471</v>
      </c>
      <c r="BH61" s="62">
        <f t="shared" si="8"/>
        <v>411.39956130156804</v>
      </c>
      <c r="BI61" s="62">
        <f ca="1">AVERAGE(OFFSET($BH$3,0,0,'Données projet'!$E$11+1,1))-AVERAGE(OFFSET($H$3,0,0,'Données projet'!$E$11+1,1))</f>
        <v>206.96327004330573</v>
      </c>
      <c r="BJ61" s="62">
        <f t="shared" si="38"/>
        <v>106.52590664430284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9.6273248538991485</v>
      </c>
      <c r="BS61" s="24">
        <f t="shared" si="9"/>
        <v>9.6273248538991485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7.8</v>
      </c>
      <c r="N62" s="14">
        <f>IF('Données projet'!$A$36&gt;35,N61+M62-V61,IF(A62&lt;'Données projet'!$A$36,$K$205^A62,IF(A62='Données projet'!$A$36,'Données projet'!$B$36,N61+M62-V61)))</f>
        <v>559.20000000000016</v>
      </c>
      <c r="O62" s="14">
        <f>N62*VLOOKUP('Données projet'!$B$9,Paramètres!$A$1:$I$89,3,0)*VLOOKUP('Données projet'!$B$9,Paramètres!$A$1:$I$89,5,0)</f>
        <v>312.59280000000012</v>
      </c>
      <c r="P62" s="14">
        <f t="shared" si="33"/>
        <v>73.810047244750066</v>
      </c>
      <c r="Q62" s="22">
        <f t="shared" si="53"/>
        <v>672.98495895127326</v>
      </c>
      <c r="R62" s="62">
        <f t="shared" si="0"/>
        <v>966.31829228460651</v>
      </c>
      <c r="S62" s="62">
        <f ca="1">AVERAGE(OFFSET($R$3,0,0,'Données projet'!$E$9+1,1))-AVERAGE(OFFSET($H$3,0,0,'Données projet'!$E$9+1,1))</f>
        <v>365.70510182727895</v>
      </c>
      <c r="T62" s="62">
        <f t="shared" si="34"/>
        <v>436.23833844962525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65.606334338347239</v>
      </c>
      <c r="AA62" s="23">
        <f>EXP(-LN(2)/25)*AA61+(1-EXP(-LN(2)/25))/(LN(2)/25)*Calculateur!V62*Calculateur!X62*VLOOKUP('Données projet'!$B$9,Paramètres!$A$1:$I$89,3,0)*0.475*44/12</f>
        <v>17.918368543409787</v>
      </c>
      <c r="AB62" s="23">
        <f>EXP(-LN(2)/2)*AB61+(1-EXP(-LN(2)/2))/(LN(2)/2)*V62*Y62*VLOOKUP('Données projet'!$B$9,Paramètres!$A$1:$I$89,3,0)*0.475*44/12</f>
        <v>0</v>
      </c>
      <c r="AC62" s="24">
        <f t="shared" si="3"/>
        <v>83.524702881757023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15.7</v>
      </c>
      <c r="AI62" s="14">
        <f>IF('Données projet'!$A$62&gt;35,AI61+AH62-AQ61,IF(A62&lt;'Données projet'!$A$62,$AF$205^A62,IF(A62='Données projet'!$A$62,'Données projet'!$B$62,AI61+AH62-AQ61)))</f>
        <v>377.3</v>
      </c>
      <c r="AJ62" s="14">
        <f>AI62*VLOOKUP('Données projet'!$B$10,Paramètres!$A$1:$I$89,3,0)*VLOOKUP('Données projet'!$B$10,Paramètres!$A$1:$I$89,5,0)</f>
        <v>225.62540000000004</v>
      </c>
      <c r="AK62" s="14">
        <f t="shared" si="35"/>
        <v>55.335736179321074</v>
      </c>
      <c r="AL62" s="22">
        <f t="shared" si="4"/>
        <v>489.34064551231751</v>
      </c>
      <c r="AM62" s="62">
        <f t="shared" si="5"/>
        <v>782.67397884565082</v>
      </c>
      <c r="AN62" s="62">
        <f ca="1">AVERAGE(OFFSET($AM$3,0,0,'Données projet'!$E$10+1,1))-AVERAGE(OFFSET($H$3,0,0,'Données projet'!$E$10+1,1))</f>
        <v>295.83974441964551</v>
      </c>
      <c r="AO62" s="62">
        <f t="shared" si="36"/>
        <v>212.24900914818096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25.91827034680707</v>
      </c>
      <c r="AV62" s="23">
        <f>EXP(-LN(2)/25)*AV61+(1-EXP(-LN(2)/25))/(LN(2)/25)*Calculateur!AQ62*Calculateur!AS62*VLOOKUP('Données projet'!$B$10,Paramètres!$A$1:$I$89,3,0)*0.475*44/12</f>
        <v>14.020287551816242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39.938557898623316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13.2</v>
      </c>
      <c r="BD62" s="13">
        <f>IF('Données projet'!$A$88&gt;35,BD61+BC62-BL61,IF(A62&lt;'Données projet'!$A$88,$BA$205^A62,IF(A62='Données projet'!$A$88,'Données projet'!$B$88,BD61+BC62-BL61)))</f>
        <v>122.40000000000013</v>
      </c>
      <c r="BE62" s="14">
        <f>BD62*VLOOKUP('Données projet'!$B$11,Paramètres!$A$1:$I$89,3,0)*VLOOKUP('Données projet'!$B$11,Paramètres!$A$1:$I$89,5,0)</f>
        <v>58.874400000000065</v>
      </c>
      <c r="BF62" s="14">
        <f t="shared" si="37"/>
        <v>16.883369104619238</v>
      </c>
      <c r="BG62" s="22">
        <f t="shared" si="7"/>
        <v>131.94478119054529</v>
      </c>
      <c r="BH62" s="62">
        <f t="shared" si="8"/>
        <v>425.27811452387857</v>
      </c>
      <c r="BI62" s="62">
        <f ca="1">AVERAGE(OFFSET($BH$3,0,0,'Données projet'!$E$11+1,1))-AVERAGE(OFFSET($H$3,0,0,'Données projet'!$E$11+1,1))</f>
        <v>206.96327004330573</v>
      </c>
      <c r="BJ62" s="62">
        <f t="shared" si="38"/>
        <v>106.52590664430284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6.807546688877876</v>
      </c>
      <c r="BS62" s="24">
        <f t="shared" si="9"/>
        <v>6.807546688877876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567</v>
      </c>
      <c r="L63" s="13">
        <f>VLOOKUP(A63,'Données projet'!$A$35:$I$55,9,0)</f>
        <v>7.8</v>
      </c>
      <c r="M63" s="13">
        <f t="array" ref="M63">INDEX(L:L,MIN(IF(ISNUMBER(L63:L259),ROW(L63:L259),"")))</f>
        <v>7.8</v>
      </c>
      <c r="N63" s="14">
        <f>IF('Données projet'!$A$36&gt;35,N62+M63-V62,IF(A63&lt;'Données projet'!$A$36,$K$205^A63,IF(A63='Données projet'!$A$36,'Données projet'!$B$36,N62+M63-V62)))</f>
        <v>567.00000000000011</v>
      </c>
      <c r="O63" s="14">
        <f>N63*VLOOKUP('Données projet'!$B$9,Paramètres!$A$1:$I$89,3,0)*VLOOKUP('Données projet'!$B$9,Paramètres!$A$1:$I$89,5,0)</f>
        <v>316.95300000000009</v>
      </c>
      <c r="P63" s="14">
        <f t="shared" si="33"/>
        <v>74.719013465238191</v>
      </c>
      <c r="Q63" s="22">
        <f t="shared" si="53"/>
        <v>682.16209011862327</v>
      </c>
      <c r="R63" s="62">
        <f t="shared" si="0"/>
        <v>975.49542345195664</v>
      </c>
      <c r="S63" s="62">
        <f ca="1">AVERAGE(OFFSET($R$3,0,0,'Données projet'!$E$9+1,1))-AVERAGE(OFFSET($H$3,0,0,'Données projet'!$E$9+1,1))</f>
        <v>365.70510182727895</v>
      </c>
      <c r="T63" s="62">
        <f t="shared" si="34"/>
        <v>436.23833844962525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567</v>
      </c>
      <c r="W63" s="17">
        <f>IF(ISNA(VLOOKUP(A63,'Données projet'!$A$35:$I$55,5,0)),0%,VLOOKUP(A63,'Données projet'!$A$35:$I$55,5,0)*VLOOKUP('Données projet'!$B$9,Paramètres!$A$1:$I$89,7,0))</f>
        <v>0.49500000000000005</v>
      </c>
      <c r="X63" s="17">
        <f>IF(ISNA(VLOOKUP(A63,'Données projet'!$A$35:$I$55,6,0)),0%,VLOOKUP(A63,'Données projet'!$A$35:$I$55,6,0)*VLOOKUP('Données projet'!$B$9,Paramètres!$A$1:$I$89,7,0))</f>
        <v>5.5000000000000007E-2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272.44683314112461</v>
      </c>
      <c r="AA63" s="23">
        <f>EXP(-LN(2)/25)*AA62+(1-EXP(-LN(2)/25))/(LN(2)/25)*Calculateur!V63*Calculateur!X63*VLOOKUP('Données projet'!$B$9,Paramètres!$A$1:$I$89,3,0)*0.475*44/12</f>
        <v>40.462559113921984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312.90939225504661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393</v>
      </c>
      <c r="AG63" s="13">
        <f>VLOOKUP(A63,'Données projet'!$A$61:$I$81,9,0)</f>
        <v>15.7</v>
      </c>
      <c r="AH63" s="13">
        <f t="array" ref="AH63">INDEX(AG:AG,MIN(IF(ISNUMBER(AG63:AG259),ROW(AG63:AG259),"")))</f>
        <v>15.7</v>
      </c>
      <c r="AI63" s="14">
        <f>IF('Données projet'!$A$62&gt;35,AI62+AH63-AQ62,IF(A63&lt;'Données projet'!$A$62,$AF$205^A63,IF(A63='Données projet'!$A$62,'Données projet'!$B$62,AI62+AH63-AQ62)))</f>
        <v>393</v>
      </c>
      <c r="AJ63" s="14">
        <f>AI63*VLOOKUP('Données projet'!$B$10,Paramètres!$A$1:$I$89,3,0)*VLOOKUP('Données projet'!$B$10,Paramètres!$A$1:$I$89,5,0)</f>
        <v>235.01400000000001</v>
      </c>
      <c r="AK63" s="14">
        <f t="shared" si="35"/>
        <v>57.365461071820548</v>
      </c>
      <c r="AL63" s="22">
        <f t="shared" si="4"/>
        <v>509.22756136675412</v>
      </c>
      <c r="AM63" s="62">
        <f t="shared" si="5"/>
        <v>802.56089470008737</v>
      </c>
      <c r="AN63" s="62">
        <f ca="1">AVERAGE(OFFSET($AM$3,0,0,'Données projet'!$E$10+1,1))-AVERAGE(OFFSET($H$3,0,0,'Données projet'!$E$10+1,1))</f>
        <v>295.83974441964551</v>
      </c>
      <c r="AO63" s="62">
        <f t="shared" si="36"/>
        <v>212.24900914818096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88</v>
      </c>
      <c r="AR63" s="17">
        <f>IF(ISNA(VLOOKUP(A63,'Données projet'!$A$61:$I$81,5,0)),0%,VLOOKUP(A63,'Données projet'!$A$61:$I$81,5,0)*VLOOKUP('Données projet'!$B$10,Paramètres!$A$1:$I$89,7,0))</f>
        <v>0.40500000000000003</v>
      </c>
      <c r="AS63" s="17">
        <f>IF(ISNA(VLOOKUP(A63,'Données projet'!$A$61:$I$81,6,0)),0%,VLOOKUP(A63,'Données projet'!$A$61:$I$81,6,0)*VLOOKUP('Données projet'!$B$10,Paramètres!$A$1:$I$89,7,0))</f>
        <v>4.5000000000000005E-2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53.68272567462553</v>
      </c>
      <c r="AV63" s="23">
        <f>EXP(-LN(2)/25)*AV62+(1-EXP(-LN(2)/25))/(LN(2)/25)*Calculateur!AQ63*Calculateur!AS63*VLOOKUP('Données projet'!$B$10,Paramètres!$A$1:$I$89,3,0)*0.475*44/12</f>
        <v>16.765943875937932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70.448669550563466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13.2</v>
      </c>
      <c r="BD63" s="13">
        <f>IF('Données projet'!$A$88&gt;35,BD62+BC63-BL62,IF(A63&lt;'Données projet'!$A$88,$BA$205^A63,IF(A63='Données projet'!$A$88,'Données projet'!$B$88,BD62+BC63-BL62)))</f>
        <v>135.60000000000014</v>
      </c>
      <c r="BE63" s="14">
        <f>BD63*VLOOKUP('Données projet'!$B$11,Paramètres!$A$1:$I$89,3,0)*VLOOKUP('Données projet'!$B$11,Paramètres!$A$1:$I$89,5,0)</f>
        <v>65.223600000000062</v>
      </c>
      <c r="BF63" s="14">
        <f t="shared" si="37"/>
        <v>18.482474514592198</v>
      </c>
      <c r="BG63" s="22">
        <f t="shared" si="7"/>
        <v>145.78807977958152</v>
      </c>
      <c r="BH63" s="62">
        <f t="shared" si="8"/>
        <v>439.12141311291487</v>
      </c>
      <c r="BI63" s="62">
        <f ca="1">AVERAGE(OFFSET($BH$3,0,0,'Données projet'!$E$11+1,1))-AVERAGE(OFFSET($H$3,0,0,'Données projet'!$E$11+1,1))</f>
        <v>206.96327004330573</v>
      </c>
      <c r="BJ63" s="62">
        <f t="shared" si="38"/>
        <v>106.52590664430284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4.8136624269495742</v>
      </c>
      <c r="BS63" s="24">
        <f t="shared" si="9"/>
        <v>4.8136624269495742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6.3550942286383367E-14</v>
      </c>
      <c r="P64" s="14">
        <f t="shared" si="33"/>
        <v>1.0064464192543978E-12</v>
      </c>
      <c r="Q64" s="22">
        <f t="shared" si="53"/>
        <v>1.8635787380168604E-12</v>
      </c>
      <c r="R64" s="62">
        <f t="shared" si="0"/>
        <v>293.33333333333519</v>
      </c>
      <c r="S64" s="62">
        <f ca="1">AVERAGE(OFFSET($R$3,0,0,'Données projet'!$E$9+1,1))-AVERAGE(OFFSET($H$3,0,0,'Données projet'!$E$9+1,1))</f>
        <v>365.70510182727895</v>
      </c>
      <c r="T64" s="62">
        <f t="shared" si="34"/>
        <v>436.23833844962525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267.10431691938686</v>
      </c>
      <c r="AA64" s="23">
        <f>EXP(-LN(2)/25)*AA63+(1-EXP(-LN(2)/25))/(LN(2)/25)*Calculateur!V64*Calculateur!X64*VLOOKUP('Données projet'!$B$9,Paramètres!$A$1:$I$89,3,0)*0.475*44/12</f>
        <v>39.356108307118284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306.46042522650515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14.3</v>
      </c>
      <c r="AI64" s="14">
        <f>IF('Données projet'!$A$62&gt;35,AI63+AH64-AQ63,IF(A64&lt;'Données projet'!$A$62,$AF$205^A64,IF(A64='Données projet'!$A$62,'Données projet'!$B$62,AI63+AH64-AQ63)))</f>
        <v>319.3</v>
      </c>
      <c r="AJ64" s="14">
        <f>AI64*VLOOKUP('Données projet'!$B$10,Paramètres!$A$1:$I$89,3,0)*VLOOKUP('Données projet'!$B$10,Paramètres!$A$1:$I$89,5,0)</f>
        <v>190.94140000000002</v>
      </c>
      <c r="AK64" s="14">
        <f t="shared" si="35"/>
        <v>47.748023117802013</v>
      </c>
      <c r="AL64" s="22">
        <f t="shared" si="4"/>
        <v>415.71741193017186</v>
      </c>
      <c r="AM64" s="62">
        <f t="shared" si="5"/>
        <v>709.05074526350518</v>
      </c>
      <c r="AN64" s="62">
        <f ca="1">AVERAGE(OFFSET($AM$3,0,0,'Données projet'!$E$10+1,1))-AVERAGE(OFFSET($H$3,0,0,'Données projet'!$E$10+1,1))</f>
        <v>295.83974441964551</v>
      </c>
      <c r="AO64" s="62">
        <f t="shared" si="36"/>
        <v>212.24900914818096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52.630040167375661</v>
      </c>
      <c r="AV64" s="23">
        <f>EXP(-LN(2)/25)*AV63+(1-EXP(-LN(2)/25))/(LN(2)/25)*Calculateur!AQ64*Calculateur!AS64*VLOOKUP('Données projet'!$B$10,Paramètres!$A$1:$I$89,3,0)*0.475*44/12</f>
        <v>16.307478258967741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68.937518426343402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13.2</v>
      </c>
      <c r="BD64" s="13">
        <f>IF('Données projet'!$A$88&gt;35,BD63+BC64-BL63,IF(A64&lt;'Données projet'!$A$88,$BA$205^A64,IF(A64='Données projet'!$A$88,'Données projet'!$B$88,BD63+BC64-BL63)))</f>
        <v>148.80000000000013</v>
      </c>
      <c r="BE64" s="14">
        <f>BD64*VLOOKUP('Données projet'!$B$11,Paramètres!$A$1:$I$89,3,0)*VLOOKUP('Données projet'!$B$11,Paramètres!$A$1:$I$89,5,0)</f>
        <v>71.572800000000058</v>
      </c>
      <c r="BF64" s="14">
        <f t="shared" si="37"/>
        <v>20.063532712034007</v>
      </c>
      <c r="BG64" s="22">
        <f t="shared" si="7"/>
        <v>159.59994614012598</v>
      </c>
      <c r="BH64" s="62">
        <f t="shared" si="8"/>
        <v>452.93327947345927</v>
      </c>
      <c r="BI64" s="62">
        <f ca="1">AVERAGE(OFFSET($BH$3,0,0,'Données projet'!$E$11+1,1))-AVERAGE(OFFSET($H$3,0,0,'Données projet'!$E$11+1,1))</f>
        <v>206.96327004330573</v>
      </c>
      <c r="BJ64" s="62">
        <f t="shared" si="38"/>
        <v>106.52590664430284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3.403773344438938</v>
      </c>
      <c r="BS64" s="24">
        <f t="shared" si="9"/>
        <v>3.403773344438938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6.3550942286383367E-14</v>
      </c>
      <c r="P65" s="14">
        <f t="shared" si="33"/>
        <v>1.0064464192543978E-12</v>
      </c>
      <c r="Q65" s="22">
        <f t="shared" si="53"/>
        <v>1.8635787380168604E-12</v>
      </c>
      <c r="R65" s="62">
        <f t="shared" si="0"/>
        <v>293.33333333333519</v>
      </c>
      <c r="S65" s="62">
        <f ca="1">AVERAGE(OFFSET($R$3,0,0,'Données projet'!$E$9+1,1))-AVERAGE(OFFSET($H$3,0,0,'Données projet'!$E$9+1,1))</f>
        <v>365.70510182727895</v>
      </c>
      <c r="T65" s="62">
        <f t="shared" si="34"/>
        <v>436.23833844962525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261.86656418214426</v>
      </c>
      <c r="AA65" s="23">
        <f>EXP(-LN(2)/25)*AA64+(1-EXP(-LN(2)/25))/(LN(2)/25)*Calculateur!V65*Calculateur!X65*VLOOKUP('Données projet'!$B$9,Paramètres!$A$1:$I$89,3,0)*0.475*44/12</f>
        <v>38.279913455812348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300.14647763795659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14.3</v>
      </c>
      <c r="AI65" s="14">
        <f>IF('Données projet'!$A$62&gt;35,AI64+AH65-AQ64,IF(A65&lt;'Données projet'!$A$62,$AF$205^A65,IF(A65='Données projet'!$A$62,'Données projet'!$B$62,AI64+AH65-AQ64)))</f>
        <v>333.6</v>
      </c>
      <c r="AJ65" s="14">
        <f>AI65*VLOOKUP('Données projet'!$B$10,Paramètres!$A$1:$I$89,3,0)*VLOOKUP('Données projet'!$B$10,Paramètres!$A$1:$I$89,5,0)</f>
        <v>199.49280000000002</v>
      </c>
      <c r="AK65" s="14">
        <f t="shared" si="35"/>
        <v>49.632684049228061</v>
      </c>
      <c r="AL65" s="22">
        <f t="shared" si="4"/>
        <v>433.89355138573887</v>
      </c>
      <c r="AM65" s="62">
        <f t="shared" si="5"/>
        <v>727.22688471907213</v>
      </c>
      <c r="AN65" s="62">
        <f ca="1">AVERAGE(OFFSET($AM$3,0,0,'Données projet'!$E$10+1,1))-AVERAGE(OFFSET($H$3,0,0,'Données projet'!$E$10+1,1))</f>
        <v>295.83974441964551</v>
      </c>
      <c r="AO65" s="62">
        <f t="shared" si="36"/>
        <v>212.24900914818096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51.597997180848203</v>
      </c>
      <c r="AV65" s="23">
        <f>EXP(-LN(2)/25)*AV64+(1-EXP(-LN(2)/25))/(LN(2)/25)*Calculateur!AQ65*Calculateur!AS65*VLOOKUP('Données projet'!$B$10,Paramètres!$A$1:$I$89,3,0)*0.475*44/12</f>
        <v>15.861549408403258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67.45954658925146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13.2</v>
      </c>
      <c r="BD65" s="13">
        <f>IF('Données projet'!$A$88&gt;35,BD64+BC65-BL64,IF(A65&lt;'Données projet'!$A$88,$BA$205^A65,IF(A65='Données projet'!$A$88,'Données projet'!$B$88,BD64+BC65-BL64)))</f>
        <v>162.00000000000011</v>
      </c>
      <c r="BE65" s="14">
        <f>BD65*VLOOKUP('Données projet'!$B$11,Paramètres!$A$1:$I$89,3,0)*VLOOKUP('Données projet'!$B$11,Paramètres!$A$1:$I$89,5,0)</f>
        <v>77.922000000000054</v>
      </c>
      <c r="BF65" s="14">
        <f t="shared" si="37"/>
        <v>21.628326707431391</v>
      </c>
      <c r="BG65" s="22">
        <f t="shared" si="7"/>
        <v>173.38348568210975</v>
      </c>
      <c r="BH65" s="62">
        <f t="shared" si="8"/>
        <v>466.71681901544309</v>
      </c>
      <c r="BI65" s="62">
        <f ca="1">AVERAGE(OFFSET($BH$3,0,0,'Données projet'!$E$11+1,1))-AVERAGE(OFFSET($H$3,0,0,'Données projet'!$E$11+1,1))</f>
        <v>206.96327004330573</v>
      </c>
      <c r="BJ65" s="62">
        <f t="shared" si="38"/>
        <v>106.52590664430284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2.4068312134747871</v>
      </c>
      <c r="BS65" s="24">
        <f t="shared" si="9"/>
        <v>2.4068312134747871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6.3550942286383367E-14</v>
      </c>
      <c r="P66" s="14">
        <f t="shared" si="33"/>
        <v>1.0064464192543978E-12</v>
      </c>
      <c r="Q66" s="22">
        <f t="shared" si="53"/>
        <v>1.8635787380168604E-12</v>
      </c>
      <c r="R66" s="62">
        <f t="shared" si="0"/>
        <v>293.33333333333519</v>
      </c>
      <c r="S66" s="62">
        <f ca="1">AVERAGE(OFFSET($R$3,0,0,'Données projet'!$E$9+1,1))-AVERAGE(OFFSET($H$3,0,0,'Données projet'!$E$9+1,1))</f>
        <v>365.70510182727895</v>
      </c>
      <c r="T66" s="62">
        <f t="shared" si="34"/>
        <v>436.23833844962525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256.73152058136526</v>
      </c>
      <c r="AA66" s="23">
        <f>EXP(-LN(2)/25)*AA65+(1-EXP(-LN(2)/25))/(LN(2)/25)*Calculateur!V66*Calculateur!X66*VLOOKUP('Données projet'!$B$9,Paramètres!$A$1:$I$89,3,0)*0.475*44/12</f>
        <v>37.233147209309998</v>
      </c>
      <c r="AB66" s="23">
        <f>EXP(-LN(2)/2)*AB65+(1-EXP(-LN(2)/2))/(LN(2)/2)*V66*Y66*VLOOKUP('Données projet'!$B$9,Paramètres!$A$1:$I$89,3,0)*0.475*44/12</f>
        <v>0</v>
      </c>
      <c r="AC66" s="24">
        <f t="shared" si="3"/>
        <v>293.96466779067526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14.3</v>
      </c>
      <c r="AI66" s="14">
        <f>IF('Données projet'!$A$62&gt;35,AI65+AH66-AQ65,IF(A66&lt;'Données projet'!$A$62,$AF$205^A66,IF(A66='Données projet'!$A$62,'Données projet'!$B$62,AI65+AH66-AQ65)))</f>
        <v>347.90000000000003</v>
      </c>
      <c r="AJ66" s="14">
        <f>AI66*VLOOKUP('Données projet'!$B$10,Paramètres!$A$1:$I$89,3,0)*VLOOKUP('Données projet'!$B$10,Paramètres!$A$1:$I$89,5,0)</f>
        <v>208.04420000000005</v>
      </c>
      <c r="AK66" s="14">
        <f t="shared" si="35"/>
        <v>51.507961722634242</v>
      </c>
      <c r="AL66" s="22">
        <f t="shared" si="4"/>
        <v>452.05334833358802</v>
      </c>
      <c r="AM66" s="62">
        <f t="shared" si="5"/>
        <v>745.38668166692128</v>
      </c>
      <c r="AN66" s="62">
        <f ca="1">AVERAGE(OFFSET($AM$3,0,0,'Données projet'!$E$10+1,1))-AVERAGE(OFFSET($H$3,0,0,'Données projet'!$E$10+1,1))</f>
        <v>295.83974441964551</v>
      </c>
      <c r="AO66" s="62">
        <f t="shared" si="36"/>
        <v>212.24900914818096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50.586191927802481</v>
      </c>
      <c r="AV66" s="23">
        <f>EXP(-LN(2)/25)*AV65+(1-EXP(-LN(2)/25))/(LN(2)/25)*Calculateur!AQ66*Calculateur!AS66*VLOOKUP('Données projet'!$B$10,Paramètres!$A$1:$I$89,3,0)*0.475*44/12</f>
        <v>15.42781450570784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66.014006433510318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13.2</v>
      </c>
      <c r="BD66" s="13">
        <f>IF('Données projet'!$A$88&gt;35,BD65+BC66-BL65,IF(A66&lt;'Données projet'!$A$88,$BA$205^A66,IF(A66='Données projet'!$A$88,'Données projet'!$B$88,BD65+BC66-BL65)))</f>
        <v>175.2000000000001</v>
      </c>
      <c r="BE66" s="14">
        <f>BD66*VLOOKUP('Données projet'!$B$11,Paramètres!$A$1:$I$89,3,0)*VLOOKUP('Données projet'!$B$11,Paramètres!$A$1:$I$89,5,0)</f>
        <v>84.27120000000005</v>
      </c>
      <c r="BF66" s="14">
        <f t="shared" si="37"/>
        <v>23.178332397368948</v>
      </c>
      <c r="BG66" s="22">
        <f t="shared" si="7"/>
        <v>187.14126892541768</v>
      </c>
      <c r="BH66" s="62">
        <f t="shared" si="8"/>
        <v>480.47460225875102</v>
      </c>
      <c r="BI66" s="62">
        <f ca="1">AVERAGE(OFFSET($BH$3,0,0,'Données projet'!$E$11+1,1))-AVERAGE(OFFSET($H$3,0,0,'Données projet'!$E$11+1,1))</f>
        <v>206.96327004330573</v>
      </c>
      <c r="BJ66" s="62">
        <f t="shared" si="38"/>
        <v>106.52590664430284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1.701886672219469</v>
      </c>
      <c r="BS66" s="24">
        <f t="shared" si="9"/>
        <v>1.701886672219469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6.3550942286383367E-14</v>
      </c>
      <c r="P67" s="14">
        <f t="shared" si="33"/>
        <v>1.0064464192543978E-12</v>
      </c>
      <c r="Q67" s="22">
        <f t="shared" ref="Q67:Q98" si="54">(O67+P67)*0.475*44/12</f>
        <v>1.8635787380168604E-12</v>
      </c>
      <c r="R67" s="62">
        <f t="shared" ref="R67:R130" si="55">Q67+(I67+J67)*44/12</f>
        <v>293.33333333333519</v>
      </c>
      <c r="S67" s="62">
        <f ca="1">AVERAGE(OFFSET($R$3,0,0,'Données projet'!$E$9+1,1))-AVERAGE(OFFSET($H$3,0,0,'Données projet'!$E$9+1,1))</f>
        <v>365.70510182727895</v>
      </c>
      <c r="T67" s="62">
        <f t="shared" si="34"/>
        <v>436.23833844962525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251.69717205353018</v>
      </c>
      <c r="AA67" s="23">
        <f>EXP(-LN(2)/25)*AA66+(1-EXP(-LN(2)/25))/(LN(2)/25)*Calculateur!V67*Calculateur!X67*VLOOKUP('Données projet'!$B$9,Paramètres!$A$1:$I$89,3,0)*0.475*44/12</f>
        <v>36.215004840865305</v>
      </c>
      <c r="AB67" s="23">
        <f>EXP(-LN(2)/2)*AB66+(1-EXP(-LN(2)/2))/(LN(2)/2)*V67*Y67*VLOOKUP('Données projet'!$B$9,Paramètres!$A$1:$I$89,3,0)*0.475*44/12</f>
        <v>0</v>
      </c>
      <c r="AC67" s="24">
        <f t="shared" si="3"/>
        <v>287.91217689439549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14.3</v>
      </c>
      <c r="AI67" s="14">
        <f>IF('Données projet'!$A$62&gt;35,AI66+AH67-AQ66,IF(A67&lt;'Données projet'!$A$62,$AF$205^A67,IF(A67='Données projet'!$A$62,'Données projet'!$B$62,AI66+AH67-AQ66)))</f>
        <v>362.20000000000005</v>
      </c>
      <c r="AJ67" s="14">
        <f>AI67*VLOOKUP('Données projet'!$B$10,Paramètres!$A$1:$I$89,3,0)*VLOOKUP('Données projet'!$B$10,Paramètres!$A$1:$I$89,5,0)</f>
        <v>216.59560000000005</v>
      </c>
      <c r="AK67" s="14">
        <f t="shared" si="35"/>
        <v>53.374285937607603</v>
      </c>
      <c r="AL67" s="22">
        <f t="shared" si="4"/>
        <v>470.19755134133334</v>
      </c>
      <c r="AM67" s="62">
        <f t="shared" si="5"/>
        <v>763.53088467466659</v>
      </c>
      <c r="AN67" s="62">
        <f ca="1">AVERAGE(OFFSET($AM$3,0,0,'Données projet'!$E$10+1,1))-AVERAGE(OFFSET($H$3,0,0,'Données projet'!$E$10+1,1))</f>
        <v>295.83974441964551</v>
      </c>
      <c r="AO67" s="62">
        <f t="shared" si="36"/>
        <v>212.24900914818096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49.594227558628717</v>
      </c>
      <c r="AV67" s="23">
        <f>EXP(-LN(2)/25)*AV66+(1-EXP(-LN(2)/25))/(LN(2)/25)*Calculateur!AQ67*Calculateur!AS67*VLOOKUP('Données projet'!$B$10,Paramètres!$A$1:$I$89,3,0)*0.475*44/12</f>
        <v>15.005940106735755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64.600167665364467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13.2</v>
      </c>
      <c r="BD67" s="13">
        <f>IF('Données projet'!$A$88&gt;35,BD66+BC67-BL66,IF(A67&lt;'Données projet'!$A$88,$BA$205^A67,IF(A67='Données projet'!$A$88,'Données projet'!$B$88,BD66+BC67-BL66)))</f>
        <v>188.40000000000009</v>
      </c>
      <c r="BE67" s="14">
        <f>BD67*VLOOKUP('Données projet'!$B$11,Paramètres!$A$1:$I$89,3,0)*VLOOKUP('Données projet'!$B$11,Paramètres!$A$1:$I$89,5,0)</f>
        <v>90.620400000000032</v>
      </c>
      <c r="BF67" s="14">
        <f t="shared" si="37"/>
        <v>24.714790659567715</v>
      </c>
      <c r="BG67" s="22">
        <f t="shared" si="7"/>
        <v>200.8754570654138</v>
      </c>
      <c r="BH67" s="62">
        <f t="shared" si="8"/>
        <v>494.20879039874711</v>
      </c>
      <c r="BI67" s="62">
        <f ca="1">AVERAGE(OFFSET($BH$3,0,0,'Données projet'!$E$11+1,1))-AVERAGE(OFFSET($H$3,0,0,'Données projet'!$E$11+1,1))</f>
        <v>206.96327004330573</v>
      </c>
      <c r="BJ67" s="62">
        <f t="shared" si="38"/>
        <v>106.52590664430284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1.2034156067373936</v>
      </c>
      <c r="BS67" s="24">
        <f t="shared" si="9"/>
        <v>1.2034156067373936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6.3550942286383367E-14</v>
      </c>
      <c r="P68" s="14">
        <f t="shared" si="33"/>
        <v>1.0064464192543978E-12</v>
      </c>
      <c r="Q68" s="22">
        <f t="shared" si="54"/>
        <v>1.8635787380168604E-12</v>
      </c>
      <c r="R68" s="62">
        <f t="shared" si="55"/>
        <v>293.33333333333519</v>
      </c>
      <c r="S68" s="62">
        <f ca="1">AVERAGE(OFFSET($R$3,0,0,'Données projet'!$E$9+1,1))-AVERAGE(OFFSET($H$3,0,0,'Données projet'!$E$9+1,1))</f>
        <v>365.70510182727895</v>
      </c>
      <c r="T68" s="62">
        <f t="shared" si="34"/>
        <v>436.23833844962525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246.76154402967654</v>
      </c>
      <c r="AA68" s="23">
        <f>EXP(-LN(2)/25)*AA67+(1-EXP(-LN(2)/25))/(LN(2)/25)*Calculateur!V68*Calculateur!X68*VLOOKUP('Données projet'!$B$9,Paramètres!$A$1:$I$89,3,0)*0.475*44/12</f>
        <v>35.224703629027509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281.98624765870403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14.3</v>
      </c>
      <c r="AI68" s="14">
        <f>IF('Données projet'!$A$62&gt;35,AI67+AH68-AQ67,IF(A68&lt;'Données projet'!$A$62,$AF$205^A68,IF(A68='Données projet'!$A$62,'Données projet'!$B$62,AI67+AH68-AQ67)))</f>
        <v>376.50000000000006</v>
      </c>
      <c r="AJ68" s="14">
        <f>AI68*VLOOKUP('Données projet'!$B$10,Paramètres!$A$1:$I$89,3,0)*VLOOKUP('Données projet'!$B$10,Paramètres!$A$1:$I$89,5,0)</f>
        <v>225.14700000000005</v>
      </c>
      <c r="AK68" s="14">
        <f t="shared" si="35"/>
        <v>55.232050634645063</v>
      </c>
      <c r="AL68" s="22">
        <f t="shared" ref="AL68:AL131" si="58">(AJ68+AK68)*0.475*44/12</f>
        <v>488.32684652200686</v>
      </c>
      <c r="AM68" s="62">
        <f t="shared" ref="AM68:AM131" si="59">AL68+(AD68+AE68)*44/12</f>
        <v>781.66017985534017</v>
      </c>
      <c r="AN68" s="62">
        <f ca="1">AVERAGE(OFFSET($AM$3,0,0,'Données projet'!$E$10+1,1))-AVERAGE(OFFSET($H$3,0,0,'Données projet'!$E$10+1,1))</f>
        <v>295.83974441964551</v>
      </c>
      <c r="AO68" s="62">
        <f t="shared" si="36"/>
        <v>212.24900914818096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48.621715005695926</v>
      </c>
      <c r="AV68" s="23">
        <f>EXP(-LN(2)/25)*AV67+(1-EXP(-LN(2)/25))/(LN(2)/25)*Calculateur!AQ68*Calculateur!AS68*VLOOKUP('Données projet'!$B$10,Paramètres!$A$1:$I$89,3,0)*0.475*44/12</f>
        <v>14.595601885388973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63.217316891084899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13.2</v>
      </c>
      <c r="BD68" s="13">
        <f>IF('Données projet'!$A$88&gt;35,BD67+BC68-BL67,IF(A68&lt;'Données projet'!$A$88,$BA$205^A68,IF(A68='Données projet'!$A$88,'Données projet'!$B$88,BD67+BC68-BL67)))</f>
        <v>201.60000000000008</v>
      </c>
      <c r="BE68" s="14">
        <f>BD68*VLOOKUP('Données projet'!$B$11,Paramètres!$A$1:$I$89,3,0)*VLOOKUP('Données projet'!$B$11,Paramètres!$A$1:$I$89,5,0)</f>
        <v>96.969600000000042</v>
      </c>
      <c r="BF68" s="14">
        <f t="shared" si="37"/>
        <v>26.238758642904337</v>
      </c>
      <c r="BG68" s="22">
        <f t="shared" ref="BG68:BG131" si="61">(BE68+BF68)*0.475*44/12</f>
        <v>214.58789130305846</v>
      </c>
      <c r="BH68" s="62">
        <f t="shared" ref="BH68:BH131" si="62">BG68+(AY68+AZ68)*44/12</f>
        <v>507.9212246363918</v>
      </c>
      <c r="BI68" s="62">
        <f ca="1">AVERAGE(OFFSET($BH$3,0,0,'Données projet'!$E$11+1,1))-AVERAGE(OFFSET($H$3,0,0,'Données projet'!$E$11+1,1))</f>
        <v>206.96327004330573</v>
      </c>
      <c r="BJ68" s="62">
        <f t="shared" si="38"/>
        <v>106.52590664430284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0.85094333610973449</v>
      </c>
      <c r="BS68" s="24">
        <f t="shared" ref="BS68:BS131" si="63">SUM(BP68:BR68)</f>
        <v>0.85094333610973449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6.3550942286383367E-14</v>
      </c>
      <c r="P69" s="14">
        <f t="shared" ref="P69:P132" si="87">EXP(-1.0587+0.8836*LN(O69)+0.284)</f>
        <v>1.0064464192543978E-12</v>
      </c>
      <c r="Q69" s="22">
        <f t="shared" si="54"/>
        <v>1.8635787380168604E-12</v>
      </c>
      <c r="R69" s="62">
        <f t="shared" si="55"/>
        <v>293.33333333333519</v>
      </c>
      <c r="S69" s="62">
        <f ca="1">AVERAGE(OFFSET($R$3,0,0,'Données projet'!$E$9+1,1))-AVERAGE(OFFSET($H$3,0,0,'Données projet'!$E$9+1,1))</f>
        <v>365.70510182727895</v>
      </c>
      <c r="T69" s="62">
        <f t="shared" ref="T69:T132" si="88">$T$3</f>
        <v>436.23833844962525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241.92270066093485</v>
      </c>
      <c r="AA69" s="23">
        <f>EXP(-LN(2)/25)*AA68+(1-EXP(-LN(2)/25))/(LN(2)/25)*Calculateur!V69*Calculateur!X69*VLOOKUP('Données projet'!$B$9,Paramètres!$A$1:$I$89,3,0)*0.475*44/12</f>
        <v>34.261482255905094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276.18418291683997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14.3</v>
      </c>
      <c r="AI69" s="14">
        <f>IF('Données projet'!$A$62&gt;35,AI68+AH69-AQ68,IF(A69&lt;'Données projet'!$A$62,$AF$205^A69,IF(A69='Données projet'!$A$62,'Données projet'!$B$62,AI68+AH69-AQ68)))</f>
        <v>390.80000000000007</v>
      </c>
      <c r="AJ69" s="14">
        <f>AI69*VLOOKUP('Données projet'!$B$10,Paramètres!$A$1:$I$89,3,0)*VLOOKUP('Données projet'!$B$10,Paramètres!$A$1:$I$89,5,0)</f>
        <v>233.69840000000005</v>
      </c>
      <c r="AK69" s="14">
        <f t="shared" ref="AK69:AK132" si="89">EXP(-1.0587+0.8836*LN(AJ69)+0.284)</f>
        <v>57.081618134454175</v>
      </c>
      <c r="AL69" s="22">
        <f t="shared" si="58"/>
        <v>506.44186491750776</v>
      </c>
      <c r="AM69" s="62">
        <f t="shared" si="59"/>
        <v>799.77519825084107</v>
      </c>
      <c r="AN69" s="62">
        <f ca="1">AVERAGE(OFFSET($AM$3,0,0,'Données projet'!$E$10+1,1))-AVERAGE(OFFSET($H$3,0,0,'Données projet'!$E$10+1,1))</f>
        <v>295.83974441964551</v>
      </c>
      <c r="AO69" s="62">
        <f t="shared" ref="AO69:AO132" si="90">$AO$3</f>
        <v>212.24900914818096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47.668272830752066</v>
      </c>
      <c r="AV69" s="23">
        <f>EXP(-LN(2)/25)*AV68+(1-EXP(-LN(2)/25))/(LN(2)/25)*Calculateur!AQ69*Calculateur!AS69*VLOOKUP('Données projet'!$B$10,Paramètres!$A$1:$I$89,3,0)*0.475*44/12</f>
        <v>14.196484384283668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61.864757215035738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13.2</v>
      </c>
      <c r="BD69" s="13">
        <f>IF('Données projet'!$A$88&gt;35,BD68+BC69-BL68,IF(A69&lt;'Données projet'!$A$88,$BA$205^A69,IF(A69='Données projet'!$A$88,'Données projet'!$B$88,BD68+BC69-BL68)))</f>
        <v>214.80000000000007</v>
      </c>
      <c r="BE69" s="14">
        <f>BD69*VLOOKUP('Données projet'!$B$11,Paramètres!$A$1:$I$89,3,0)*VLOOKUP('Données projet'!$B$11,Paramètres!$A$1:$I$89,5,0)</f>
        <v>103.31880000000004</v>
      </c>
      <c r="BF69" s="14">
        <f t="shared" ref="BF69:BF132" si="91">EXP(-1.0587+0.8836*LN(BE69)+0.284)</f>
        <v>27.751147230592217</v>
      </c>
      <c r="BG69" s="22">
        <f t="shared" si="61"/>
        <v>228.28015809328147</v>
      </c>
      <c r="BH69" s="62">
        <f t="shared" si="62"/>
        <v>521.61349142661481</v>
      </c>
      <c r="BI69" s="62">
        <f ca="1">AVERAGE(OFFSET($BH$3,0,0,'Données projet'!$E$11+1,1))-AVERAGE(OFFSET($H$3,0,0,'Données projet'!$E$11+1,1))</f>
        <v>206.96327004330573</v>
      </c>
      <c r="BJ69" s="62">
        <f t="shared" ref="BJ69:BJ132" si="92">$BJ$3</f>
        <v>106.52590664430284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0.60170780336869678</v>
      </c>
      <c r="BS69" s="24">
        <f t="shared" si="63"/>
        <v>0.60170780336869678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6.3550942286383367E-14</v>
      </c>
      <c r="P70" s="14">
        <f t="shared" si="87"/>
        <v>1.0064464192543978E-12</v>
      </c>
      <c r="Q70" s="22">
        <f t="shared" si="54"/>
        <v>1.8635787380168604E-12</v>
      </c>
      <c r="R70" s="62">
        <f t="shared" si="55"/>
        <v>293.33333333333519</v>
      </c>
      <c r="S70" s="62">
        <f ca="1">AVERAGE(OFFSET($R$3,0,0,'Données projet'!$E$9+1,1))-AVERAGE(OFFSET($H$3,0,0,'Données projet'!$E$9+1,1))</f>
        <v>365.70510182727895</v>
      </c>
      <c r="T70" s="62">
        <f t="shared" si="88"/>
        <v>436.23833844962525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237.17874405925116</v>
      </c>
      <c r="AA70" s="23">
        <f>EXP(-LN(2)/25)*AA69+(1-EXP(-LN(2)/25))/(LN(2)/25)*Calculateur!V70*Calculateur!X70*VLOOKUP('Données projet'!$B$9,Paramètres!$A$1:$I$89,3,0)*0.475*44/12</f>
        <v>33.324600221884324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270.50334428113547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14.3</v>
      </c>
      <c r="AI70" s="14">
        <f>IF('Données projet'!$A$62&gt;35,AI69+AH70-AQ69,IF(A70&lt;'Données projet'!$A$62,$AF$205^A70,IF(A70='Données projet'!$A$62,'Données projet'!$B$62,AI69+AH70-AQ69)))</f>
        <v>405.10000000000008</v>
      </c>
      <c r="AJ70" s="14">
        <f>AI70*VLOOKUP('Données projet'!$B$10,Paramètres!$A$1:$I$89,3,0)*VLOOKUP('Données projet'!$B$10,Paramètres!$A$1:$I$89,5,0)</f>
        <v>242.24980000000005</v>
      </c>
      <c r="AK70" s="14">
        <f t="shared" si="89"/>
        <v>58.923322739321947</v>
      </c>
      <c r="AL70" s="22">
        <f t="shared" si="58"/>
        <v>524.54318877098581</v>
      </c>
      <c r="AM70" s="62">
        <f t="shared" si="59"/>
        <v>817.87652210431906</v>
      </c>
      <c r="AN70" s="62">
        <f ca="1">AVERAGE(OFFSET($AM$3,0,0,'Données projet'!$E$10+1,1))-AVERAGE(OFFSET($H$3,0,0,'Données projet'!$E$10+1,1))</f>
        <v>295.83974441964551</v>
      </c>
      <c r="AO70" s="62">
        <f t="shared" si="90"/>
        <v>212.24900914818096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46.733527075316552</v>
      </c>
      <c r="AV70" s="23">
        <f>EXP(-LN(2)/25)*AV69+(1-EXP(-LN(2)/25))/(LN(2)/25)*Calculateur!AQ70*Calculateur!AS70*VLOOKUP('Données projet'!$B$10,Paramètres!$A$1:$I$89,3,0)*0.475*44/12</f>
        <v>13.808280772234763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60.541807847551311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>
        <f>VLOOKUP(A70,'Données projet'!$A$87:$I$107,2,0)</f>
        <v>228</v>
      </c>
      <c r="BB70" s="13">
        <f>VLOOKUP(A70,'Données projet'!$A$87:$I$107,9,0)</f>
        <v>13.2</v>
      </c>
      <c r="BC70" s="13">
        <f t="array" ref="BC70">INDEX(BB:BB,MIN(IF(ISNUMBER(BB70:BB266),ROW(BB70:BB266),"")))</f>
        <v>13.2</v>
      </c>
      <c r="BD70" s="13">
        <f>IF('Données projet'!$A$88&gt;35,BD69+BC70-BL69,IF(A70&lt;'Données projet'!$A$88,$BA$205^A70,IF(A70='Données projet'!$A$88,'Données projet'!$B$88,BD69+BC70-BL69)))</f>
        <v>228.00000000000006</v>
      </c>
      <c r="BE70" s="14">
        <f>BD70*VLOOKUP('Données projet'!$B$11,Paramètres!$A$1:$I$89,3,0)*VLOOKUP('Données projet'!$B$11,Paramètres!$A$1:$I$89,5,0)</f>
        <v>109.66800000000002</v>
      </c>
      <c r="BF70" s="14">
        <f t="shared" si="91"/>
        <v>29.25274902730003</v>
      </c>
      <c r="BG70" s="22">
        <f t="shared" si="61"/>
        <v>241.95363788921421</v>
      </c>
      <c r="BH70" s="62">
        <f t="shared" si="62"/>
        <v>535.28697122254755</v>
      </c>
      <c r="BI70" s="62">
        <f ca="1">AVERAGE(OFFSET($BH$3,0,0,'Données projet'!$E$11+1,1))-AVERAGE(OFFSET($H$3,0,0,'Données projet'!$E$11+1,1))</f>
        <v>206.96327004330573</v>
      </c>
      <c r="BJ70" s="62">
        <f t="shared" si="92"/>
        <v>106.52590664430284</v>
      </c>
      <c r="BK70" s="16">
        <f>IF(ISNA(VLOOKUP(A70,'Données projet'!$A$87:$I$107,3,0)),0,VLOOKUP(A70,'Données projet'!$A$87:$I$107,3,0))</f>
        <v>2</v>
      </c>
      <c r="BL70" s="16">
        <f>IF(ISNA(VLOOKUP(A70,'Données projet'!$A$87:$I$107,4,0)),0,VLOOKUP(A70,'Données projet'!$A$87:$I$107,4,0))</f>
        <v>45</v>
      </c>
      <c r="BM70" s="17">
        <f>IF(ISNA(VLOOKUP(A70,'Données projet'!$A$87:$I$107,5,0)),0%,VLOOKUP(A70,'Données projet'!$A$87:$I$107,5,0)*VLOOKUP('Données projet'!$B$11,Paramètres!$A$1:$I$89,7,0))</f>
        <v>0.22000000000000003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0.6</v>
      </c>
      <c r="BP70" s="23">
        <f>EXP(-LN(2)/35)*BP69+(1-EXP(-LN(2)/35))/(LN(2)/35)*BL70*BM70*VLOOKUP('Données projet'!$B$11,Paramètres!$A$1:$I$89,3,0)*0.475*44/12</f>
        <v>6.3169672803575461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15.129772516031078</v>
      </c>
      <c r="BS70" s="24">
        <f t="shared" si="63"/>
        <v>21.446739796388623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6.3550942286383367E-14</v>
      </c>
      <c r="P71" s="14">
        <f t="shared" si="87"/>
        <v>1.0064464192543978E-12</v>
      </c>
      <c r="Q71" s="22">
        <f t="shared" si="54"/>
        <v>1.8635787380168604E-12</v>
      </c>
      <c r="R71" s="62">
        <f t="shared" si="55"/>
        <v>293.33333333333519</v>
      </c>
      <c r="S71" s="62">
        <f ca="1">AVERAGE(OFFSET($R$3,0,0,'Données projet'!$E$9+1,1))-AVERAGE(OFFSET($H$3,0,0,'Données projet'!$E$9+1,1))</f>
        <v>365.70510182727895</v>
      </c>
      <c r="T71" s="62">
        <f t="shared" si="88"/>
        <v>436.23833844962525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232.52781355299865</v>
      </c>
      <c r="AA71" s="23">
        <f>EXP(-LN(2)/25)*AA70+(1-EXP(-LN(2)/25))/(LN(2)/25)*Calculateur!V71*Calculateur!X71*VLOOKUP('Données projet'!$B$9,Paramètres!$A$1:$I$89,3,0)*0.475*44/12</f>
        <v>32.413337276352337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264.94115082935099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14.3</v>
      </c>
      <c r="AI71" s="14">
        <f>IF('Données projet'!$A$62&gt;35,AI70+AH71-AQ70,IF(A71&lt;'Données projet'!$A$62,$AF$205^A71,IF(A71='Données projet'!$A$62,'Données projet'!$B$62,AI70+AH71-AQ70)))</f>
        <v>419.40000000000009</v>
      </c>
      <c r="AJ71" s="14">
        <f>AI71*VLOOKUP('Données projet'!$B$10,Paramètres!$A$1:$I$89,3,0)*VLOOKUP('Données projet'!$B$10,Paramètres!$A$1:$I$89,5,0)</f>
        <v>250.80120000000008</v>
      </c>
      <c r="AK71" s="14">
        <f t="shared" si="89"/>
        <v>60.757473811682686</v>
      </c>
      <c r="AL71" s="22">
        <f t="shared" si="58"/>
        <v>542.63135688868078</v>
      </c>
      <c r="AM71" s="62">
        <f t="shared" si="59"/>
        <v>835.96469022201404</v>
      </c>
      <c r="AN71" s="62">
        <f ca="1">AVERAGE(OFFSET($AM$3,0,0,'Données projet'!$E$10+1,1))-AVERAGE(OFFSET($H$3,0,0,'Données projet'!$E$10+1,1))</f>
        <v>295.83974441964551</v>
      </c>
      <c r="AO71" s="62">
        <f t="shared" si="90"/>
        <v>212.24900914818096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45.817111114006508</v>
      </c>
      <c r="AV71" s="23">
        <f>EXP(-LN(2)/25)*AV70+(1-EXP(-LN(2)/25))/(LN(2)/25)*Calculateur!AQ71*Calculateur!AS71*VLOOKUP('Données projet'!$B$10,Paramètres!$A$1:$I$89,3,0)*0.475*44/12</f>
        <v>13.430692608372077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59.247803722378585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15.2</v>
      </c>
      <c r="BD71" s="13">
        <f>IF('Données projet'!$A$88&gt;35,BD70+BC71-BL70,IF(A71&lt;'Données projet'!$A$88,$BA$205^A71,IF(A71='Données projet'!$A$88,'Données projet'!$B$88,BD70+BC71-BL70)))</f>
        <v>198.20000000000005</v>
      </c>
      <c r="BE71" s="14">
        <f>BD71*VLOOKUP('Données projet'!$B$11,Paramètres!$A$1:$I$89,3,0)*VLOOKUP('Données projet'!$B$11,Paramètres!$A$1:$I$89,5,0)</f>
        <v>95.334200000000024</v>
      </c>
      <c r="BF71" s="14">
        <f t="shared" si="91"/>
        <v>25.847362853149658</v>
      </c>
      <c r="BG71" s="22">
        <f t="shared" si="61"/>
        <v>211.05788863590237</v>
      </c>
      <c r="BH71" s="62">
        <f t="shared" si="62"/>
        <v>504.39122196923569</v>
      </c>
      <c r="BI71" s="62">
        <f ca="1">AVERAGE(OFFSET($BH$3,0,0,'Données projet'!$E$11+1,1))-AVERAGE(OFFSET($H$3,0,0,'Données projet'!$E$11+1,1))</f>
        <v>206.96327004330573</v>
      </c>
      <c r="BJ71" s="62">
        <f t="shared" si="92"/>
        <v>106.52590664430284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6.1930954049593261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10.698364743895429</v>
      </c>
      <c r="BS71" s="24">
        <f t="shared" si="63"/>
        <v>16.891460148854755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6.3550942286383367E-14</v>
      </c>
      <c r="P72" s="14">
        <f t="shared" si="87"/>
        <v>1.0064464192543978E-12</v>
      </c>
      <c r="Q72" s="22">
        <f t="shared" si="54"/>
        <v>1.8635787380168604E-12</v>
      </c>
      <c r="R72" s="62">
        <f t="shared" si="55"/>
        <v>293.33333333333519</v>
      </c>
      <c r="S72" s="62">
        <f ca="1">AVERAGE(OFFSET($R$3,0,0,'Données projet'!$E$9+1,1))-AVERAGE(OFFSET($H$3,0,0,'Données projet'!$E$9+1,1))</f>
        <v>365.70510182727895</v>
      </c>
      <c r="T72" s="62">
        <f t="shared" si="88"/>
        <v>436.23833844962525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227.96808495718628</v>
      </c>
      <c r="AA72" s="23">
        <f>EXP(-LN(2)/25)*AA71+(1-EXP(-LN(2)/25))/(LN(2)/25)*Calculateur!V72*Calculateur!X72*VLOOKUP('Données projet'!$B$9,Paramètres!$A$1:$I$89,3,0)*0.475*44/12</f>
        <v>31.526992863987157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259.49507782117342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14.3</v>
      </c>
      <c r="AI72" s="14">
        <f>IF('Données projet'!$A$62&gt;35,AI71+AH72-AQ71,IF(A72&lt;'Données projet'!$A$62,$AF$205^A72,IF(A72='Données projet'!$A$62,'Données projet'!$B$62,AI71+AH72-AQ71)))</f>
        <v>433.7000000000001</v>
      </c>
      <c r="AJ72" s="14">
        <f>AI72*VLOOKUP('Données projet'!$B$10,Paramètres!$A$1:$I$89,3,0)*VLOOKUP('Données projet'!$B$10,Paramètres!$A$1:$I$89,5,0)</f>
        <v>259.35260000000011</v>
      </c>
      <c r="AK72" s="14">
        <f t="shared" si="89"/>
        <v>62.58435842101963</v>
      </c>
      <c r="AL72" s="22">
        <f t="shared" si="58"/>
        <v>560.70686924994277</v>
      </c>
      <c r="AM72" s="62">
        <f t="shared" si="59"/>
        <v>854.04020258327614</v>
      </c>
      <c r="AN72" s="62">
        <f ca="1">AVERAGE(OFFSET($AM$3,0,0,'Données projet'!$E$10+1,1))-AVERAGE(OFFSET($H$3,0,0,'Données projet'!$E$10+1,1))</f>
        <v>295.83974441964551</v>
      </c>
      <c r="AO72" s="62">
        <f t="shared" si="90"/>
        <v>212.24900914818096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44.91866551073921</v>
      </c>
      <c r="AV72" s="23">
        <f>EXP(-LN(2)/25)*AV71+(1-EXP(-LN(2)/25))/(LN(2)/25)*Calculateur!AQ72*Calculateur!AS72*VLOOKUP('Données projet'!$B$10,Paramètres!$A$1:$I$89,3,0)*0.475*44/12</f>
        <v>13.063429612706715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57.982095123445923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15.2</v>
      </c>
      <c r="BD72" s="13">
        <f>IF('Données projet'!$A$88&gt;35,BD71+BC72-BL71,IF(A72&lt;'Données projet'!$A$88,$BA$205^A72,IF(A72='Données projet'!$A$88,'Données projet'!$B$88,BD71+BC72-BL71)))</f>
        <v>213.40000000000003</v>
      </c>
      <c r="BE72" s="14">
        <f>BD72*VLOOKUP('Données projet'!$B$11,Paramètres!$A$1:$I$89,3,0)*VLOOKUP('Données projet'!$B$11,Paramètres!$A$1:$I$89,5,0)</f>
        <v>102.64540000000002</v>
      </c>
      <c r="BF72" s="14">
        <f t="shared" si="91"/>
        <v>27.59126672325506</v>
      </c>
      <c r="BG72" s="22">
        <f t="shared" si="61"/>
        <v>226.82886120966927</v>
      </c>
      <c r="BH72" s="62">
        <f t="shared" si="62"/>
        <v>520.16219454300256</v>
      </c>
      <c r="BI72" s="62">
        <f ca="1">AVERAGE(OFFSET($BH$3,0,0,'Données projet'!$E$11+1,1))-AVERAGE(OFFSET($H$3,0,0,'Données projet'!$E$11+1,1))</f>
        <v>206.96327004330573</v>
      </c>
      <c r="BJ72" s="62">
        <f t="shared" si="92"/>
        <v>106.52590664430284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6.0716525814832822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7.56488625801554</v>
      </c>
      <c r="BS72" s="24">
        <f t="shared" si="63"/>
        <v>13.636538839498822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6.3550942286383367E-14</v>
      </c>
      <c r="P73" s="14">
        <f t="shared" si="87"/>
        <v>1.0064464192543978E-12</v>
      </c>
      <c r="Q73" s="22">
        <f t="shared" si="54"/>
        <v>1.8635787380168604E-12</v>
      </c>
      <c r="R73" s="62">
        <f t="shared" si="55"/>
        <v>293.33333333333519</v>
      </c>
      <c r="S73" s="62">
        <f ca="1">AVERAGE(OFFSET($R$3,0,0,'Données projet'!$E$9+1,1))-AVERAGE(OFFSET($H$3,0,0,'Données projet'!$E$9+1,1))</f>
        <v>365.70510182727895</v>
      </c>
      <c r="T73" s="62">
        <f t="shared" si="88"/>
        <v>436.23833844962525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223.49776985797794</v>
      </c>
      <c r="AA73" s="23">
        <f>EXP(-LN(2)/25)*AA72+(1-EXP(-LN(2)/25))/(LN(2)/25)*Calculateur!V73*Calculateur!X73*VLOOKUP('Données projet'!$B$9,Paramètres!$A$1:$I$89,3,0)*0.475*44/12</f>
        <v>30.66488558618893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254.16265544416689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448</v>
      </c>
      <c r="AG73" s="13">
        <f>VLOOKUP(A73,'Données projet'!$A$61:$I$81,9,0)</f>
        <v>14.3</v>
      </c>
      <c r="AH73" s="13">
        <f t="array" ref="AH73">INDEX(AG:AG,MIN(IF(ISNUMBER(AG73:AG269),ROW(AG73:AG269),"")))</f>
        <v>14.3</v>
      </c>
      <c r="AI73" s="14">
        <f>IF('Données projet'!$A$62&gt;35,AI72+AH73-AQ72,IF(A73&lt;'Données projet'!$A$62,$AF$205^A73,IF(A73='Données projet'!$A$62,'Données projet'!$B$62,AI72+AH73-AQ72)))</f>
        <v>448.00000000000011</v>
      </c>
      <c r="AJ73" s="14">
        <f>AI73*VLOOKUP('Données projet'!$B$10,Paramètres!$A$1:$I$89,3,0)*VLOOKUP('Données projet'!$B$10,Paramètres!$A$1:$I$89,5,0)</f>
        <v>267.90400000000011</v>
      </c>
      <c r="AK73" s="14">
        <f t="shared" si="89"/>
        <v>64.404243631863267</v>
      </c>
      <c r="AL73" s="22">
        <f t="shared" si="58"/>
        <v>578.77019099216204</v>
      </c>
      <c r="AM73" s="62">
        <f t="shared" si="59"/>
        <v>872.1035243254953</v>
      </c>
      <c r="AN73" s="62">
        <f ca="1">AVERAGE(OFFSET($AM$3,0,0,'Données projet'!$E$10+1,1))-AVERAGE(OFFSET($H$3,0,0,'Données projet'!$E$10+1,1))</f>
        <v>295.83974441964551</v>
      </c>
      <c r="AO73" s="62">
        <f t="shared" si="90"/>
        <v>212.24900914818096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78</v>
      </c>
      <c r="AR73" s="17">
        <f>IF(ISNA(VLOOKUP(A73,'Données projet'!$A$61:$I$81,5,0)),0%,VLOOKUP(A73,'Données projet'!$A$61:$I$81,5,0)*VLOOKUP('Données projet'!$B$10,Paramètres!$A$1:$I$89,7,0))</f>
        <v>0.40500000000000003</v>
      </c>
      <c r="AS73" s="17">
        <f>IF(ISNA(VLOOKUP(A73,'Données projet'!$A$61:$I$81,6,0)),0%,VLOOKUP(A73,'Données projet'!$A$61:$I$81,6,0)*VLOOKUP('Données projet'!$B$10,Paramètres!$A$1:$I$89,7,0))</f>
        <v>4.5000000000000005E-2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69.097728223860656</v>
      </c>
      <c r="AV73" s="23">
        <f>EXP(-LN(2)/25)*AV72+(1-EXP(-LN(2)/25))/(LN(2)/25)*Calculateur!AQ73*Calculateur!AS73*VLOOKUP('Données projet'!$B$10,Paramètres!$A$1:$I$89,3,0)*0.475*44/12</f>
        <v>15.479678332887669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84.577406556748329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15.2</v>
      </c>
      <c r="BD73" s="13">
        <f>IF('Données projet'!$A$88&gt;35,BD72+BC73-BL72,IF(A73&lt;'Données projet'!$A$88,$BA$205^A73,IF(A73='Données projet'!$A$88,'Données projet'!$B$88,BD72+BC73-BL72)))</f>
        <v>228.60000000000002</v>
      </c>
      <c r="BE73" s="14">
        <f>BD73*VLOOKUP('Données projet'!$B$11,Paramètres!$A$1:$I$89,3,0)*VLOOKUP('Données projet'!$B$11,Paramètres!$A$1:$I$89,5,0)</f>
        <v>109.95660000000001</v>
      </c>
      <c r="BF73" s="14">
        <f t="shared" si="91"/>
        <v>29.320758959216327</v>
      </c>
      <c r="BG73" s="22">
        <f t="shared" si="61"/>
        <v>242.57473352063508</v>
      </c>
      <c r="BH73" s="62">
        <f t="shared" si="62"/>
        <v>535.90806685396842</v>
      </c>
      <c r="BI73" s="62">
        <f ca="1">AVERAGE(OFFSET($BH$3,0,0,'Données projet'!$E$11+1,1))-AVERAGE(OFFSET($H$3,0,0,'Données projet'!$E$11+1,1))</f>
        <v>206.96327004330573</v>
      </c>
      <c r="BJ73" s="62">
        <f t="shared" si="92"/>
        <v>106.52590664430284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5.9525911777027947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5.3491823719477152</v>
      </c>
      <c r="BS73" s="24">
        <f t="shared" si="63"/>
        <v>11.301773549650509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6.3550942286383367E-14</v>
      </c>
      <c r="P74" s="14">
        <f t="shared" si="87"/>
        <v>1.0064464192543978E-12</v>
      </c>
      <c r="Q74" s="22">
        <f t="shared" si="54"/>
        <v>1.8635787380168604E-12</v>
      </c>
      <c r="R74" s="62">
        <f t="shared" si="55"/>
        <v>293.33333333333519</v>
      </c>
      <c r="S74" s="62">
        <f ca="1">AVERAGE(OFFSET($R$3,0,0,'Données projet'!$E$9+1,1))-AVERAGE(OFFSET($H$3,0,0,'Données projet'!$E$9+1,1))</f>
        <v>365.70510182727895</v>
      </c>
      <c r="T74" s="62">
        <f t="shared" si="88"/>
        <v>436.23833844962525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219.1151149112421</v>
      </c>
      <c r="AA74" s="23">
        <f>EXP(-LN(2)/25)*AA73+(1-EXP(-LN(2)/25))/(LN(2)/25)*Calculateur!V74*Calculateur!X74*VLOOKUP('Données projet'!$B$9,Paramètres!$A$1:$I$89,3,0)*0.475*44/12</f>
        <v>29.826352677238347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248.94146758848046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9</v>
      </c>
      <c r="AI74" s="14">
        <f>IF('Données projet'!$A$62&gt;35,AI73+AH74-AQ73,IF(A74&lt;'Données projet'!$A$62,$AF$205^A74,IF(A74='Données projet'!$A$62,'Données projet'!$B$62,AI73+AH74-AQ73)))</f>
        <v>379.00000000000011</v>
      </c>
      <c r="AJ74" s="14">
        <f>AI74*VLOOKUP('Données projet'!$B$10,Paramètres!$A$1:$I$89,3,0)*VLOOKUP('Données projet'!$B$10,Paramètres!$A$1:$I$89,5,0)</f>
        <v>226.64200000000008</v>
      </c>
      <c r="AK74" s="14">
        <f t="shared" si="89"/>
        <v>55.555983079812862</v>
      </c>
      <c r="AL74" s="22">
        <f t="shared" si="58"/>
        <v>491.49482053067413</v>
      </c>
      <c r="AM74" s="62">
        <f t="shared" si="59"/>
        <v>784.82815386400739</v>
      </c>
      <c r="AN74" s="62">
        <f ca="1">AVERAGE(OFFSET($AM$3,0,0,'Données projet'!$E$10+1,1))-AVERAGE(OFFSET($H$3,0,0,'Données projet'!$E$10+1,1))</f>
        <v>295.83974441964551</v>
      </c>
      <c r="AO74" s="62">
        <f t="shared" si="90"/>
        <v>212.24900914818096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67.742763918843451</v>
      </c>
      <c r="AV74" s="23">
        <f>EXP(-LN(2)/25)*AV73+(1-EXP(-LN(2)/25))/(LN(2)/25)*Calculateur!AQ74*Calculateur!AS74*VLOOKUP('Données projet'!$B$10,Paramètres!$A$1:$I$89,3,0)*0.475*44/12</f>
        <v>15.056385714833951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82.799149633677402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15.2</v>
      </c>
      <c r="BD74" s="13">
        <f>IF('Données projet'!$A$88&gt;35,BD73+BC74-BL73,IF(A74&lt;'Données projet'!$A$88,$BA$205^A74,IF(A74='Données projet'!$A$88,'Données projet'!$B$88,BD73+BC74-BL73)))</f>
        <v>243.8</v>
      </c>
      <c r="BE74" s="14">
        <f>BD74*VLOOKUP('Données projet'!$B$11,Paramètres!$A$1:$I$89,3,0)*VLOOKUP('Données projet'!$B$11,Paramètres!$A$1:$I$89,5,0)</f>
        <v>117.26780000000001</v>
      </c>
      <c r="BF74" s="14">
        <f t="shared" si="91"/>
        <v>31.036906851277575</v>
      </c>
      <c r="BG74" s="22">
        <f t="shared" si="61"/>
        <v>258.29736443264181</v>
      </c>
      <c r="BH74" s="62">
        <f t="shared" si="62"/>
        <v>551.63069776597513</v>
      </c>
      <c r="BI74" s="62">
        <f ca="1">AVERAGE(OFFSET($BH$3,0,0,'Données projet'!$E$11+1,1))-AVERAGE(OFFSET($H$3,0,0,'Données projet'!$E$11+1,1))</f>
        <v>206.96327004330573</v>
      </c>
      <c r="BJ74" s="62">
        <f t="shared" si="92"/>
        <v>106.52590664430284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5.8358644954301573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3.7824431290077705</v>
      </c>
      <c r="BS74" s="24">
        <f t="shared" si="63"/>
        <v>9.6183076244379286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6.3550942286383367E-14</v>
      </c>
      <c r="P75" s="14">
        <f t="shared" si="87"/>
        <v>1.0064464192543978E-12</v>
      </c>
      <c r="Q75" s="22">
        <f t="shared" si="54"/>
        <v>1.8635787380168604E-12</v>
      </c>
      <c r="R75" s="62">
        <f t="shared" si="55"/>
        <v>293.33333333333519</v>
      </c>
      <c r="S75" s="62">
        <f ca="1">AVERAGE(OFFSET($R$3,0,0,'Données projet'!$E$9+1,1))-AVERAGE(OFFSET($H$3,0,0,'Données projet'!$E$9+1,1))</f>
        <v>365.70510182727895</v>
      </c>
      <c r="T75" s="62">
        <f t="shared" si="88"/>
        <v>436.23833844962525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214.81840115485619</v>
      </c>
      <c r="AA75" s="23">
        <f>EXP(-LN(2)/25)*AA74+(1-EXP(-LN(2)/25))/(LN(2)/25)*Calculateur!V75*Calculateur!X75*VLOOKUP('Données projet'!$B$9,Paramètres!$A$1:$I$89,3,0)*0.475*44/12</f>
        <v>29.010749494779546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243.82915064963572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9</v>
      </c>
      <c r="AI75" s="14">
        <f>IF('Données projet'!$A$62&gt;35,AI74+AH75-AQ74,IF(A75&lt;'Données projet'!$A$62,$AF$205^A75,IF(A75='Données projet'!$A$62,'Données projet'!$B$62,AI74+AH75-AQ74)))</f>
        <v>388.00000000000011</v>
      </c>
      <c r="AJ75" s="14">
        <f>AI75*VLOOKUP('Données projet'!$B$10,Paramètres!$A$1:$I$89,3,0)*VLOOKUP('Données projet'!$B$10,Paramètres!$A$1:$I$89,5,0)</f>
        <v>232.02400000000006</v>
      </c>
      <c r="AK75" s="14">
        <f t="shared" si="89"/>
        <v>56.720094243161071</v>
      </c>
      <c r="AL75" s="22">
        <f t="shared" si="58"/>
        <v>502.89596414017234</v>
      </c>
      <c r="AM75" s="62">
        <f t="shared" si="59"/>
        <v>796.22929747350565</v>
      </c>
      <c r="AN75" s="62">
        <f ca="1">AVERAGE(OFFSET($AM$3,0,0,'Données projet'!$E$10+1,1))-AVERAGE(OFFSET($H$3,0,0,'Données projet'!$E$10+1,1))</f>
        <v>295.83974441964551</v>
      </c>
      <c r="AO75" s="62">
        <f t="shared" si="90"/>
        <v>212.24900914818096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66.414369637401009</v>
      </c>
      <c r="AV75" s="23">
        <f>EXP(-LN(2)/25)*AV74+(1-EXP(-LN(2)/25))/(LN(2)/25)*Calculateur!AQ75*Calculateur!AS75*VLOOKUP('Données projet'!$B$10,Paramètres!$A$1:$I$89,3,0)*0.475*44/12</f>
        <v>14.644668055680903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81.059037693081905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15.2</v>
      </c>
      <c r="BD75" s="13">
        <f>IF('Données projet'!$A$88&gt;35,BD74+BC75-BL74,IF(A75&lt;'Données projet'!$A$88,$BA$205^A75,IF(A75='Données projet'!$A$88,'Données projet'!$B$88,BD74+BC75-BL74)))</f>
        <v>259</v>
      </c>
      <c r="BE75" s="14">
        <f>BD75*VLOOKUP('Données projet'!$B$11,Paramètres!$A$1:$I$89,3,0)*VLOOKUP('Données projet'!$B$11,Paramètres!$A$1:$I$89,5,0)</f>
        <v>124.57900000000001</v>
      </c>
      <c r="BF75" s="14">
        <f t="shared" si="91"/>
        <v>32.740637085069601</v>
      </c>
      <c r="BG75" s="22">
        <f t="shared" si="61"/>
        <v>273.9983679231629</v>
      </c>
      <c r="BH75" s="62">
        <f t="shared" si="62"/>
        <v>567.33170125649622</v>
      </c>
      <c r="BI75" s="62">
        <f ca="1">AVERAGE(OFFSET($BH$3,0,0,'Données projet'!$E$11+1,1))-AVERAGE(OFFSET($H$3,0,0,'Données projet'!$E$11+1,1))</f>
        <v>206.96327004330573</v>
      </c>
      <c r="BJ75" s="62">
        <f t="shared" si="92"/>
        <v>106.52590664430284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5.7214267522006406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2.674591185973858</v>
      </c>
      <c r="BS75" s="24">
        <f t="shared" si="63"/>
        <v>8.3960179381744986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6.3550942286383367E-14</v>
      </c>
      <c r="P76" s="14">
        <f t="shared" si="87"/>
        <v>1.0064464192543978E-12</v>
      </c>
      <c r="Q76" s="22">
        <f t="shared" si="54"/>
        <v>1.8635787380168604E-12</v>
      </c>
      <c r="R76" s="62">
        <f t="shared" si="55"/>
        <v>293.33333333333519</v>
      </c>
      <c r="S76" s="62">
        <f ca="1">AVERAGE(OFFSET($R$3,0,0,'Données projet'!$E$9+1,1))-AVERAGE(OFFSET($H$3,0,0,'Données projet'!$E$9+1,1))</f>
        <v>365.70510182727895</v>
      </c>
      <c r="T76" s="62">
        <f t="shared" si="88"/>
        <v>436.23833844962525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210.6059433344964</v>
      </c>
      <c r="AA76" s="23">
        <f>EXP(-LN(2)/25)*AA75+(1-EXP(-LN(2)/25))/(LN(2)/25)*Calculateur!V76*Calculateur!X76*VLOOKUP('Données projet'!$B$9,Paramètres!$A$1:$I$89,3,0)*0.475*44/12</f>
        <v>28.217449024235787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238.82339235873218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9</v>
      </c>
      <c r="AI76" s="14">
        <f>IF('Données projet'!$A$62&gt;35,AI75+AH76-AQ75,IF(A76&lt;'Données projet'!$A$62,$AF$205^A76,IF(A76='Données projet'!$A$62,'Données projet'!$B$62,AI75+AH76-AQ75)))</f>
        <v>397.00000000000011</v>
      </c>
      <c r="AJ76" s="14">
        <f>AI76*VLOOKUP('Données projet'!$B$10,Paramètres!$A$1:$I$89,3,0)*VLOOKUP('Données projet'!$B$10,Paramètres!$A$1:$I$89,5,0)</f>
        <v>237.40600000000009</v>
      </c>
      <c r="AK76" s="14">
        <f t="shared" si="89"/>
        <v>57.881066248213493</v>
      </c>
      <c r="AL76" s="22">
        <f t="shared" si="58"/>
        <v>514.29164038230522</v>
      </c>
      <c r="AM76" s="62">
        <f t="shared" si="59"/>
        <v>807.62497371563859</v>
      </c>
      <c r="AN76" s="62">
        <f ca="1">AVERAGE(OFFSET($AM$3,0,0,'Données projet'!$E$10+1,1))-AVERAGE(OFFSET($H$3,0,0,'Données projet'!$E$10+1,1))</f>
        <v>295.83974441964551</v>
      </c>
      <c r="AO76" s="62">
        <f t="shared" si="90"/>
        <v>212.24900914818096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65.112024357577141</v>
      </c>
      <c r="AV76" s="23">
        <f>EXP(-LN(2)/25)*AV75+(1-EXP(-LN(2)/25))/(LN(2)/25)*Calculateur!AQ76*Calculateur!AS76*VLOOKUP('Données projet'!$B$10,Paramètres!$A$1:$I$89,3,0)*0.475*44/12</f>
        <v>14.244208837568687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79.356233195145833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15.2</v>
      </c>
      <c r="BD76" s="13">
        <f>IF('Données projet'!$A$88&gt;35,BD75+BC76-BL75,IF(A76&lt;'Données projet'!$A$88,$BA$205^A76,IF(A76='Données projet'!$A$88,'Données projet'!$B$88,BD75+BC76-BL75)))</f>
        <v>274.2</v>
      </c>
      <c r="BE76" s="14">
        <f>BD76*VLOOKUP('Données projet'!$B$11,Paramètres!$A$1:$I$89,3,0)*VLOOKUP('Données projet'!$B$11,Paramètres!$A$1:$I$89,5,0)</f>
        <v>131.89019999999999</v>
      </c>
      <c r="BF76" s="14">
        <f t="shared" si="91"/>
        <v>34.432761432571297</v>
      </c>
      <c r="BG76" s="22">
        <f t="shared" si="61"/>
        <v>289.67915782839498</v>
      </c>
      <c r="BH76" s="62">
        <f t="shared" si="62"/>
        <v>583.01249116172835</v>
      </c>
      <c r="BI76" s="62">
        <f ca="1">AVERAGE(OFFSET($BH$3,0,0,'Données projet'!$E$11+1,1))-AVERAGE(OFFSET($H$3,0,0,'Données projet'!$E$11+1,1))</f>
        <v>206.96327004330573</v>
      </c>
      <c r="BJ76" s="62">
        <f t="shared" si="92"/>
        <v>106.52590664430284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5.609233063315723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1.8912215645038857</v>
      </c>
      <c r="BS76" s="24">
        <f t="shared" si="63"/>
        <v>7.5004546278196091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6.3550942286383367E-14</v>
      </c>
      <c r="P77" s="14">
        <f t="shared" si="87"/>
        <v>1.0064464192543978E-12</v>
      </c>
      <c r="Q77" s="22">
        <f t="shared" si="54"/>
        <v>1.8635787380168604E-12</v>
      </c>
      <c r="R77" s="62">
        <f t="shared" si="55"/>
        <v>293.33333333333519</v>
      </c>
      <c r="S77" s="62">
        <f ca="1">AVERAGE(OFFSET($R$3,0,0,'Données projet'!$E$9+1,1))-AVERAGE(OFFSET($H$3,0,0,'Données projet'!$E$9+1,1))</f>
        <v>365.70510182727895</v>
      </c>
      <c r="T77" s="62">
        <f t="shared" si="88"/>
        <v>436.23833844962525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206.4760892426483</v>
      </c>
      <c r="AA77" s="23">
        <f>EXP(-LN(2)/25)*AA76+(1-EXP(-LN(2)/25))/(LN(2)/25)*Calculateur!V77*Calculateur!X77*VLOOKUP('Données projet'!$B$9,Paramètres!$A$1:$I$89,3,0)*0.475*44/12</f>
        <v>27.445841396776906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233.9219306394252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</v>
      </c>
      <c r="AI77" s="14">
        <f>IF('Données projet'!$A$62&gt;35,AI76+AH77-AQ76,IF(A77&lt;'Données projet'!$A$62,$AF$205^A77,IF(A77='Données projet'!$A$62,'Données projet'!$B$62,AI76+AH77-AQ76)))</f>
        <v>406.00000000000011</v>
      </c>
      <c r="AJ77" s="14">
        <f>AI77*VLOOKUP('Données projet'!$B$10,Paramètres!$A$1:$I$89,3,0)*VLOOKUP('Données projet'!$B$10,Paramètres!$A$1:$I$89,5,0)</f>
        <v>242.78800000000007</v>
      </c>
      <c r="AK77" s="14">
        <f t="shared" si="89"/>
        <v>59.038978452354563</v>
      </c>
      <c r="AL77" s="22">
        <f t="shared" si="58"/>
        <v>525.68198747118436</v>
      </c>
      <c r="AM77" s="62">
        <f t="shared" si="59"/>
        <v>819.01532080451761</v>
      </c>
      <c r="AN77" s="62">
        <f ca="1">AVERAGE(OFFSET($AM$3,0,0,'Données projet'!$E$10+1,1))-AVERAGE(OFFSET($H$3,0,0,'Données projet'!$E$10+1,1))</f>
        <v>295.83974441964551</v>
      </c>
      <c r="AO77" s="62">
        <f t="shared" si="90"/>
        <v>212.24900914818096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63.83521727433844</v>
      </c>
      <c r="AV77" s="23">
        <f>EXP(-LN(2)/25)*AV76+(1-EXP(-LN(2)/25))/(LN(2)/25)*Calculateur!AQ77*Calculateur!AS77*VLOOKUP('Données projet'!$B$10,Paramètres!$A$1:$I$89,3,0)*0.475*44/12</f>
        <v>13.854700197834983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77.68991747217342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15.2</v>
      </c>
      <c r="BD77" s="13">
        <f>IF('Données projet'!$A$88&gt;35,BD76+BC77-BL76,IF(A77&lt;'Données projet'!$A$88,$BA$205^A77,IF(A77='Données projet'!$A$88,'Données projet'!$B$88,BD76+BC77-BL76)))</f>
        <v>289.39999999999998</v>
      </c>
      <c r="BE77" s="14">
        <f>BD77*VLOOKUP('Données projet'!$B$11,Paramètres!$A$1:$I$89,3,0)*VLOOKUP('Données projet'!$B$11,Paramètres!$A$1:$I$89,5,0)</f>
        <v>139.20139999999998</v>
      </c>
      <c r="BF77" s="14">
        <f t="shared" si="91"/>
        <v>36.113996583180736</v>
      </c>
      <c r="BG77" s="22">
        <f t="shared" si="61"/>
        <v>305.34098238237306</v>
      </c>
      <c r="BH77" s="62">
        <f t="shared" si="62"/>
        <v>598.67431571570637</v>
      </c>
      <c r="BI77" s="62">
        <f ca="1">AVERAGE(OFFSET($BH$3,0,0,'Données projet'!$E$11+1,1))-AVERAGE(OFFSET($H$3,0,0,'Données projet'!$E$11+1,1))</f>
        <v>206.96327004330573</v>
      </c>
      <c r="BJ77" s="62">
        <f t="shared" si="92"/>
        <v>106.52590664430284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5.4992394242384455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1.3372955929869292</v>
      </c>
      <c r="BS77" s="24">
        <f t="shared" si="63"/>
        <v>6.8365350172253745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6.3550942286383367E-14</v>
      </c>
      <c r="P78" s="14">
        <f t="shared" si="87"/>
        <v>1.0064464192543978E-12</v>
      </c>
      <c r="Q78" s="22">
        <f t="shared" si="54"/>
        <v>1.8635787380168604E-12</v>
      </c>
      <c r="R78" s="62">
        <f t="shared" si="55"/>
        <v>293.33333333333519</v>
      </c>
      <c r="S78" s="62">
        <f ca="1">AVERAGE(OFFSET($R$3,0,0,'Données projet'!$E$9+1,1))-AVERAGE(OFFSET($H$3,0,0,'Données projet'!$E$9+1,1))</f>
        <v>365.70510182727895</v>
      </c>
      <c r="T78" s="62">
        <f t="shared" si="88"/>
        <v>436.23833844962525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202.42721907057907</v>
      </c>
      <c r="AA78" s="23">
        <f>EXP(-LN(2)/25)*AA77+(1-EXP(-LN(2)/25))/(LN(2)/25)*Calculateur!V78*Calculateur!X78*VLOOKUP('Données projet'!$B$9,Paramètres!$A$1:$I$89,3,0)*0.475*44/12</f>
        <v>26.695333420467971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229.12255249104703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9</v>
      </c>
      <c r="AI78" s="14">
        <f>IF('Données projet'!$A$62&gt;35,AI77+AH78-AQ77,IF(A78&lt;'Données projet'!$A$62,$AF$205^A78,IF(A78='Données projet'!$A$62,'Données projet'!$B$62,AI77+AH78-AQ77)))</f>
        <v>415.00000000000011</v>
      </c>
      <c r="AJ78" s="14">
        <f>AI78*VLOOKUP('Données projet'!$B$10,Paramètres!$A$1:$I$89,3,0)*VLOOKUP('Données projet'!$B$10,Paramètres!$A$1:$I$89,5,0)</f>
        <v>248.1700000000001</v>
      </c>
      <c r="AK78" s="14">
        <f t="shared" si="89"/>
        <v>60.193906493778854</v>
      </c>
      <c r="AL78" s="22">
        <f t="shared" si="58"/>
        <v>537.06713714333159</v>
      </c>
      <c r="AM78" s="62">
        <f t="shared" si="59"/>
        <v>830.40047047666485</v>
      </c>
      <c r="AN78" s="62">
        <f ca="1">AVERAGE(OFFSET($AM$3,0,0,'Données projet'!$E$10+1,1))-AVERAGE(OFFSET($H$3,0,0,'Données projet'!$E$10+1,1))</f>
        <v>295.83974441964551</v>
      </c>
      <c r="AO78" s="62">
        <f t="shared" si="90"/>
        <v>212.24900914818096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62.583447599226623</v>
      </c>
      <c r="AV78" s="23">
        <f>EXP(-LN(2)/25)*AV77+(1-EXP(-LN(2)/25))/(LN(2)/25)*Calculateur!AQ78*Calculateur!AS78*VLOOKUP('Données projet'!$B$10,Paramètres!$A$1:$I$89,3,0)*0.475*44/12</f>
        <v>13.475842692338167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76.059290291564793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15.2</v>
      </c>
      <c r="BD78" s="13">
        <f>IF('Données projet'!$A$88&gt;35,BD77+BC78-BL77,IF(A78&lt;'Données projet'!$A$88,$BA$205^A78,IF(A78='Données projet'!$A$88,'Données projet'!$B$88,BD77+BC78-BL77)))</f>
        <v>304.59999999999997</v>
      </c>
      <c r="BE78" s="14">
        <f>BD78*VLOOKUP('Données projet'!$B$11,Paramètres!$A$1:$I$89,3,0)*VLOOKUP('Données projet'!$B$11,Paramètres!$A$1:$I$89,5,0)</f>
        <v>146.51259999999999</v>
      </c>
      <c r="BF78" s="14">
        <f t="shared" si="91"/>
        <v>37.784979689643926</v>
      </c>
      <c r="BG78" s="22">
        <f t="shared" si="61"/>
        <v>320.9849512927965</v>
      </c>
      <c r="BH78" s="62">
        <f t="shared" si="62"/>
        <v>614.31828462612975</v>
      </c>
      <c r="BI78" s="62">
        <f ca="1">AVERAGE(OFFSET($BH$3,0,0,'Données projet'!$E$11+1,1))-AVERAGE(OFFSET($H$3,0,0,'Données projet'!$E$11+1,1))</f>
        <v>206.96327004330573</v>
      </c>
      <c r="BJ78" s="62">
        <f t="shared" si="92"/>
        <v>106.52590664430284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5.391402693333978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0.94561078225194295</v>
      </c>
      <c r="BS78" s="24">
        <f t="shared" si="63"/>
        <v>6.3370134755859207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6.3550942286383367E-14</v>
      </c>
      <c r="P79" s="14">
        <f t="shared" si="87"/>
        <v>1.0064464192543978E-12</v>
      </c>
      <c r="Q79" s="22">
        <f t="shared" si="54"/>
        <v>1.8635787380168604E-12</v>
      </c>
      <c r="R79" s="62">
        <f t="shared" si="55"/>
        <v>293.33333333333519</v>
      </c>
      <c r="S79" s="62">
        <f ca="1">AVERAGE(OFFSET($R$3,0,0,'Données projet'!$E$9+1,1))-AVERAGE(OFFSET($H$3,0,0,'Données projet'!$E$9+1,1))</f>
        <v>365.70510182727895</v>
      </c>
      <c r="T79" s="62">
        <f t="shared" si="88"/>
        <v>436.23833844962525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198.45774477301717</v>
      </c>
      <c r="AA79" s="23">
        <f>EXP(-LN(2)/25)*AA78+(1-EXP(-LN(2)/25))/(LN(2)/25)*Calculateur!V79*Calculateur!X79*VLOOKUP('Données projet'!$B$9,Paramètres!$A$1:$I$89,3,0)*0.475*44/12</f>
        <v>25.965348124238702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224.42309289725586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9</v>
      </c>
      <c r="AI79" s="14">
        <f>IF('Données projet'!$A$62&gt;35,AI78+AH79-AQ78,IF(A79&lt;'Données projet'!$A$62,$AF$205^A79,IF(A79='Données projet'!$A$62,'Données projet'!$B$62,AI78+AH79-AQ78)))</f>
        <v>424.00000000000011</v>
      </c>
      <c r="AJ79" s="14">
        <f>AI79*VLOOKUP('Données projet'!$B$10,Paramètres!$A$1:$I$89,3,0)*VLOOKUP('Données projet'!$B$10,Paramètres!$A$1:$I$89,5,0)</f>
        <v>253.55200000000008</v>
      </c>
      <c r="AK79" s="14">
        <f t="shared" si="89"/>
        <v>61.345922542613536</v>
      </c>
      <c r="AL79" s="22">
        <f t="shared" si="58"/>
        <v>548.447215095052</v>
      </c>
      <c r="AM79" s="62">
        <f t="shared" si="59"/>
        <v>841.78054842838537</v>
      </c>
      <c r="AN79" s="62">
        <f ca="1">AVERAGE(OFFSET($AM$3,0,0,'Données projet'!$E$10+1,1))-AVERAGE(OFFSET($H$3,0,0,'Données projet'!$E$10+1,1))</f>
        <v>295.83974441964551</v>
      </c>
      <c r="AO79" s="62">
        <f t="shared" si="90"/>
        <v>212.24900914818096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61.356224363939639</v>
      </c>
      <c r="AV79" s="23">
        <f>EXP(-LN(2)/25)*AV78+(1-EXP(-LN(2)/25))/(LN(2)/25)*Calculateur!AQ79*Calculateur!AS79*VLOOKUP('Données projet'!$B$10,Paramètres!$A$1:$I$89,3,0)*0.475*44/12</f>
        <v>13.107345065252412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74.463569429192049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15.2</v>
      </c>
      <c r="BD79" s="13">
        <f>IF('Données projet'!$A$88&gt;35,BD78+BC79-BL78,IF(A79&lt;'Données projet'!$A$88,$BA$205^A79,IF(A79='Données projet'!$A$88,'Données projet'!$B$88,BD78+BC79-BL78)))</f>
        <v>319.79999999999995</v>
      </c>
      <c r="BE79" s="14">
        <f>BD79*VLOOKUP('Données projet'!$B$11,Paramètres!$A$1:$I$89,3,0)*VLOOKUP('Données projet'!$B$11,Paramètres!$A$1:$I$89,5,0)</f>
        <v>153.82379999999998</v>
      </c>
      <c r="BF79" s="14">
        <f t="shared" si="91"/>
        <v>39.446280722750942</v>
      </c>
      <c r="BG79" s="22">
        <f t="shared" si="61"/>
        <v>336.61205725879114</v>
      </c>
      <c r="BH79" s="62">
        <f t="shared" si="62"/>
        <v>629.94539059212445</v>
      </c>
      <c r="BI79" s="62">
        <f ca="1">AVERAGE(OFFSET($BH$3,0,0,'Données projet'!$E$11+1,1))-AVERAGE(OFFSET($H$3,0,0,'Données projet'!$E$11+1,1))</f>
        <v>206.96327004330573</v>
      </c>
      <c r="BJ79" s="62">
        <f t="shared" si="92"/>
        <v>106.52590664430284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5.2856805749486364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0.66864779649346473</v>
      </c>
      <c r="BS79" s="24">
        <f t="shared" si="63"/>
        <v>5.9543283714421014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6.3550942286383367E-14</v>
      </c>
      <c r="P80" s="14">
        <f t="shared" si="87"/>
        <v>1.0064464192543978E-12</v>
      </c>
      <c r="Q80" s="22">
        <f t="shared" si="54"/>
        <v>1.8635787380168604E-12</v>
      </c>
      <c r="R80" s="62">
        <f t="shared" si="55"/>
        <v>293.33333333333519</v>
      </c>
      <c r="S80" s="62">
        <f ca="1">AVERAGE(OFFSET($R$3,0,0,'Données projet'!$E$9+1,1))-AVERAGE(OFFSET($H$3,0,0,'Données projet'!$E$9+1,1))</f>
        <v>365.70510182727895</v>
      </c>
      <c r="T80" s="62">
        <f t="shared" si="88"/>
        <v>436.23833844962525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194.56610944529018</v>
      </c>
      <c r="AA80" s="23">
        <f>EXP(-LN(2)/25)*AA79+(1-EXP(-LN(2)/25))/(LN(2)/25)*Calculateur!V80*Calculateur!X80*VLOOKUP('Données projet'!$B$9,Paramètres!$A$1:$I$89,3,0)*0.475*44/12</f>
        <v>25.255324314323079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219.82143375961326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9</v>
      </c>
      <c r="AI80" s="14">
        <f>IF('Données projet'!$A$62&gt;35,AI79+AH80-AQ79,IF(A80&lt;'Données projet'!$A$62,$AF$205^A80,IF(A80='Données projet'!$A$62,'Données projet'!$B$62,AI79+AH80-AQ79)))</f>
        <v>433.00000000000011</v>
      </c>
      <c r="AJ80" s="14">
        <f>AI80*VLOOKUP('Données projet'!$B$10,Paramètres!$A$1:$I$89,3,0)*VLOOKUP('Données projet'!$B$10,Paramètres!$A$1:$I$89,5,0)</f>
        <v>258.93400000000008</v>
      </c>
      <c r="AK80" s="14">
        <f t="shared" si="89"/>
        <v>62.495095530116075</v>
      </c>
      <c r="AL80" s="22">
        <f t="shared" si="58"/>
        <v>559.82234138161891</v>
      </c>
      <c r="AM80" s="62">
        <f t="shared" si="59"/>
        <v>853.15567471495228</v>
      </c>
      <c r="AN80" s="62">
        <f ca="1">AVERAGE(OFFSET($AM$3,0,0,'Données projet'!$E$10+1,1))-AVERAGE(OFFSET($H$3,0,0,'Données projet'!$E$10+1,1))</f>
        <v>295.83974441964551</v>
      </c>
      <c r="AO80" s="62">
        <f t="shared" si="90"/>
        <v>212.24900914818096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60.15306622776437</v>
      </c>
      <c r="AV80" s="23">
        <f>EXP(-LN(2)/25)*AV79+(1-EXP(-LN(2)/25))/(LN(2)/25)*Calculateur!AQ80*Calculateur!AS80*VLOOKUP('Données projet'!$B$10,Paramètres!$A$1:$I$89,3,0)*0.475*44/12</f>
        <v>12.748924025157764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72.901990252922133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>
        <f>VLOOKUP(A80,'Données projet'!$A$87:$I$107,2,0)</f>
        <v>335</v>
      </c>
      <c r="BB80" s="13">
        <f>VLOOKUP(A80,'Données projet'!$A$87:$I$107,9,0)</f>
        <v>15.2</v>
      </c>
      <c r="BC80" s="13">
        <f t="array" ref="BC80">INDEX(BB:BB,MIN(IF(ISNUMBER(BB80:BB276),ROW(BB80:BB276),"")))</f>
        <v>15.2</v>
      </c>
      <c r="BD80" s="13">
        <f>IF('Données projet'!$A$88&gt;35,BD79+BC80-BL79,IF(A80&lt;'Données projet'!$A$88,$BA$205^A80,IF(A80='Données projet'!$A$88,'Données projet'!$B$88,BD79+BC80-BL79)))</f>
        <v>334.99999999999994</v>
      </c>
      <c r="BE80" s="14">
        <f>BD80*VLOOKUP('Données projet'!$B$11,Paramètres!$A$1:$I$89,3,0)*VLOOKUP('Données projet'!$B$11,Paramètres!$A$1:$I$89,5,0)</f>
        <v>161.13499999999996</v>
      </c>
      <c r="BF80" s="14">
        <f t="shared" si="91"/>
        <v>41.098412410626828</v>
      </c>
      <c r="BG80" s="22">
        <f t="shared" si="61"/>
        <v>352.22319328184159</v>
      </c>
      <c r="BH80" s="62">
        <f t="shared" si="62"/>
        <v>645.5565266151749</v>
      </c>
      <c r="BI80" s="62">
        <f ca="1">AVERAGE(OFFSET($BH$3,0,0,'Données projet'!$E$11+1,1))-AVERAGE(OFFSET($H$3,0,0,'Données projet'!$E$11+1,1))</f>
        <v>206.96327004330573</v>
      </c>
      <c r="BJ80" s="62">
        <f t="shared" si="92"/>
        <v>106.52590664430284</v>
      </c>
      <c r="BK80" s="16">
        <f>IF(ISNA(VLOOKUP(A80,'Données projet'!$A$87:$I$107,3,0)),0,VLOOKUP(A80,'Données projet'!$A$87:$I$107,3,0))</f>
        <v>3</v>
      </c>
      <c r="BL80" s="16">
        <f>IF(ISNA(VLOOKUP(A80,'Données projet'!$A$87:$I$107,4,0)),0,VLOOKUP(A80,'Données projet'!$A$87:$I$107,4,0))</f>
        <v>65</v>
      </c>
      <c r="BM80" s="17">
        <f>IF(ISNA(VLOOKUP(A80,'Données projet'!$A$87:$I$107,5,0)),0%,VLOOKUP(A80,'Données projet'!$A$87:$I$107,5,0)*VLOOKUP('Données projet'!$B$11,Paramètres!$A$1:$I$89,7,0))</f>
        <v>0.33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0.4</v>
      </c>
      <c r="BP80" s="23">
        <f>EXP(-LN(2)/35)*BP79+(1-EXP(-LN(2)/35))/(LN(2)/35)*BL80*BM80*VLOOKUP('Données projet'!$B$11,Paramètres!$A$1:$I$89,3,0)*0.475*44/12</f>
        <v>18.86879404359539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14.632502503991956</v>
      </c>
      <c r="BS80" s="24">
        <f t="shared" si="63"/>
        <v>33.501296547587344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6.3550942286383367E-14</v>
      </c>
      <c r="P81" s="14">
        <f t="shared" si="87"/>
        <v>1.0064464192543978E-12</v>
      </c>
      <c r="Q81" s="22">
        <f t="shared" si="54"/>
        <v>1.8635787380168604E-12</v>
      </c>
      <c r="R81" s="62">
        <f t="shared" si="55"/>
        <v>293.33333333333519</v>
      </c>
      <c r="S81" s="62">
        <f ca="1">AVERAGE(OFFSET($R$3,0,0,'Données projet'!$E$9+1,1))-AVERAGE(OFFSET($H$3,0,0,'Données projet'!$E$9+1,1))</f>
        <v>365.70510182727895</v>
      </c>
      <c r="T81" s="62">
        <f t="shared" si="88"/>
        <v>436.23833844962525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190.75078671267676</v>
      </c>
      <c r="AA81" s="23">
        <f>EXP(-LN(2)/25)*AA80+(1-EXP(-LN(2)/25))/(LN(2)/25)*Calculateur!V81*Calculateur!X81*VLOOKUP('Données projet'!$B$9,Paramètres!$A$1:$I$89,3,0)*0.475*44/12</f>
        <v>24.564716142828132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215.31550285550489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9</v>
      </c>
      <c r="AI81" s="14">
        <f>IF('Données projet'!$A$62&gt;35,AI80+AH81-AQ80,IF(A81&lt;'Données projet'!$A$62,$AF$205^A81,IF(A81='Données projet'!$A$62,'Données projet'!$B$62,AI80+AH81-AQ80)))</f>
        <v>442.00000000000011</v>
      </c>
      <c r="AJ81" s="14">
        <f>AI81*VLOOKUP('Données projet'!$B$10,Paramètres!$A$1:$I$89,3,0)*VLOOKUP('Données projet'!$B$10,Paramètres!$A$1:$I$89,5,0)</f>
        <v>264.31600000000009</v>
      </c>
      <c r="AK81" s="14">
        <f t="shared" si="89"/>
        <v>63.641491358279801</v>
      </c>
      <c r="AL81" s="22">
        <f t="shared" si="58"/>
        <v>571.19263078233746</v>
      </c>
      <c r="AM81" s="62">
        <f t="shared" si="59"/>
        <v>864.52596411567083</v>
      </c>
      <c r="AN81" s="62">
        <f ca="1">AVERAGE(OFFSET($AM$3,0,0,'Données projet'!$E$10+1,1))-AVERAGE(OFFSET($H$3,0,0,'Données projet'!$E$10+1,1))</f>
        <v>295.83974441964551</v>
      </c>
      <c r="AO81" s="62">
        <f t="shared" si="90"/>
        <v>212.24900914818096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58.973501288785499</v>
      </c>
      <c r="AV81" s="23">
        <f>EXP(-LN(2)/25)*AV80+(1-EXP(-LN(2)/25))/(LN(2)/25)*Calculateur!AQ81*Calculateur!AS81*VLOOKUP('Données projet'!$B$10,Paramètres!$A$1:$I$89,3,0)*0.475*44/12</f>
        <v>12.40030402725305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71.373805316038556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14.7</v>
      </c>
      <c r="BD81" s="13">
        <f>IF('Données projet'!$A$88&gt;35,BD80+BC81-BL80,IF(A81&lt;'Données projet'!$A$88,$BA$205^A81,IF(A81='Données projet'!$A$88,'Données projet'!$B$88,BD80+BC81-BL80)))</f>
        <v>284.69999999999993</v>
      </c>
      <c r="BE81" s="14">
        <f>BD81*VLOOKUP('Données projet'!$B$11,Paramètres!$A$1:$I$89,3,0)*VLOOKUP('Données projet'!$B$11,Paramètres!$A$1:$I$89,5,0)</f>
        <v>136.94069999999996</v>
      </c>
      <c r="BF81" s="14">
        <f t="shared" si="91"/>
        <v>35.59526416394533</v>
      </c>
      <c r="BG81" s="22">
        <f t="shared" si="61"/>
        <v>300.50013758553803</v>
      </c>
      <c r="BH81" s="62">
        <f t="shared" si="62"/>
        <v>593.8334709188714</v>
      </c>
      <c r="BI81" s="62">
        <f ca="1">AVERAGE(OFFSET($BH$3,0,0,'Données projet'!$E$11+1,1))-AVERAGE(OFFSET($H$3,0,0,'Données projet'!$E$11+1,1))</f>
        <v>206.96327004330573</v>
      </c>
      <c r="BJ81" s="62">
        <f t="shared" si="92"/>
        <v>106.52590664430284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18.49878850122845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10.34674174630185</v>
      </c>
      <c r="BS81" s="24">
        <f t="shared" si="63"/>
        <v>28.845530247530299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6.3550942286383367E-14</v>
      </c>
      <c r="P82" s="14">
        <f t="shared" si="87"/>
        <v>1.0064464192543978E-12</v>
      </c>
      <c r="Q82" s="22">
        <f t="shared" si="54"/>
        <v>1.8635787380168604E-12</v>
      </c>
      <c r="R82" s="62">
        <f t="shared" si="55"/>
        <v>293.33333333333519</v>
      </c>
      <c r="S82" s="62">
        <f ca="1">AVERAGE(OFFSET($R$3,0,0,'Données projet'!$E$9+1,1))-AVERAGE(OFFSET($H$3,0,0,'Données projet'!$E$9+1,1))</f>
        <v>365.70510182727895</v>
      </c>
      <c r="T82" s="62">
        <f t="shared" si="88"/>
        <v>436.23833844962525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187.0102801317328</v>
      </c>
      <c r="AA82" s="23">
        <f>EXP(-LN(2)/25)*AA81+(1-EXP(-LN(2)/25))/(LN(2)/25)*Calculateur!V82*Calculateur!X82*VLOOKUP('Données projet'!$B$9,Paramètres!$A$1:$I$89,3,0)*0.475*44/12</f>
        <v>23.892992688100218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210.90327281983301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9</v>
      </c>
      <c r="AI82" s="14">
        <f>IF('Données projet'!$A$62&gt;35,AI81+AH82-AQ81,IF(A82&lt;'Données projet'!$A$62,$AF$205^A82,IF(A82='Données projet'!$A$62,'Données projet'!$B$62,AI81+AH82-AQ81)))</f>
        <v>451.00000000000011</v>
      </c>
      <c r="AJ82" s="14">
        <f>AI82*VLOOKUP('Données projet'!$B$10,Paramètres!$A$1:$I$89,3,0)*VLOOKUP('Données projet'!$B$10,Paramètres!$A$1:$I$89,5,0)</f>
        <v>269.69800000000009</v>
      </c>
      <c r="AK82" s="14">
        <f t="shared" si="89"/>
        <v>64.785173091884289</v>
      </c>
      <c r="AL82" s="22">
        <f t="shared" si="58"/>
        <v>582.55819313503196</v>
      </c>
      <c r="AM82" s="62">
        <f t="shared" si="59"/>
        <v>875.89152646836533</v>
      </c>
      <c r="AN82" s="62">
        <f ca="1">AVERAGE(OFFSET($AM$3,0,0,'Données projet'!$E$10+1,1))-AVERAGE(OFFSET($H$3,0,0,'Données projet'!$E$10+1,1))</f>
        <v>295.83974441964551</v>
      </c>
      <c r="AO82" s="62">
        <f t="shared" si="90"/>
        <v>212.24900914818096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57.817066898796433</v>
      </c>
      <c r="AV82" s="23">
        <f>EXP(-LN(2)/25)*AV81+(1-EXP(-LN(2)/25))/(LN(2)/25)*Calculateur!AQ82*Calculateur!AS82*VLOOKUP('Données projet'!$B$10,Paramètres!$A$1:$I$89,3,0)*0.475*44/12</f>
        <v>12.061217061524168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69.878283960320601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14.7</v>
      </c>
      <c r="BD82" s="13">
        <f>IF('Données projet'!$A$88&gt;35,BD81+BC82-BL81,IF(A82&lt;'Données projet'!$A$88,$BA$205^A82,IF(A82='Données projet'!$A$88,'Données projet'!$B$88,BD81+BC82-BL81)))</f>
        <v>299.39999999999992</v>
      </c>
      <c r="BE82" s="14">
        <f>BD82*VLOOKUP('Données projet'!$B$11,Paramètres!$A$1:$I$89,3,0)*VLOOKUP('Données projet'!$B$11,Paramètres!$A$1:$I$89,5,0)</f>
        <v>144.01139999999995</v>
      </c>
      <c r="BF82" s="14">
        <f t="shared" si="91"/>
        <v>37.214444555063068</v>
      </c>
      <c r="BG82" s="22">
        <f t="shared" si="61"/>
        <v>315.63501260006802</v>
      </c>
      <c r="BH82" s="62">
        <f t="shared" si="62"/>
        <v>608.96834593340134</v>
      </c>
      <c r="BI82" s="62">
        <f ca="1">AVERAGE(OFFSET($BH$3,0,0,'Données projet'!$E$11+1,1))-AVERAGE(OFFSET($H$3,0,0,'Données projet'!$E$11+1,1))</f>
        <v>206.96327004330573</v>
      </c>
      <c r="BJ82" s="62">
        <f t="shared" si="92"/>
        <v>106.52590664430284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18.136038541866228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7.3162512519959799</v>
      </c>
      <c r="BS82" s="24">
        <f t="shared" si="63"/>
        <v>25.452289793862207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6.3550942286383367E-14</v>
      </c>
      <c r="P83" s="14">
        <f t="shared" si="87"/>
        <v>1.0064464192543978E-12</v>
      </c>
      <c r="Q83" s="22">
        <f t="shared" si="54"/>
        <v>1.8635787380168604E-12</v>
      </c>
      <c r="R83" s="62">
        <f t="shared" si="55"/>
        <v>293.33333333333519</v>
      </c>
      <c r="S83" s="62">
        <f ca="1">AVERAGE(OFFSET($R$3,0,0,'Données projet'!$E$9+1,1))-AVERAGE(OFFSET($H$3,0,0,'Données projet'!$E$9+1,1))</f>
        <v>365.70510182727895</v>
      </c>
      <c r="T83" s="62">
        <f t="shared" si="88"/>
        <v>436.23833844962525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183.34312260335741</v>
      </c>
      <c r="AA83" s="23">
        <f>EXP(-LN(2)/25)*AA82+(1-EXP(-LN(2)/25))/(LN(2)/25)*Calculateur!V83*Calculateur!X83*VLOOKUP('Données projet'!$B$9,Paramètres!$A$1:$I$89,3,0)*0.475*44/12</f>
        <v>23.239637546566239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206.58276014992364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460</v>
      </c>
      <c r="AG83" s="13">
        <f>VLOOKUP(A83,'Données projet'!$A$61:$I$81,9,0)</f>
        <v>9</v>
      </c>
      <c r="AH83" s="13">
        <f t="array" ref="AH83">INDEX(AG:AG,MIN(IF(ISNUMBER(AG83:AG279),ROW(AG83:AG279),"")))</f>
        <v>9</v>
      </c>
      <c r="AI83" s="14">
        <f>IF('Données projet'!$A$62&gt;35,AI82+AH83-AQ82,IF(A83&lt;'Données projet'!$A$62,$AF$205^A83,IF(A83='Données projet'!$A$62,'Données projet'!$B$62,AI82+AH83-AQ82)))</f>
        <v>460.00000000000011</v>
      </c>
      <c r="AJ83" s="14">
        <f>AI83*VLOOKUP('Données projet'!$B$10,Paramètres!$A$1:$I$89,3,0)*VLOOKUP('Données projet'!$B$10,Paramètres!$A$1:$I$89,5,0)</f>
        <v>275.0800000000001</v>
      </c>
      <c r="AK83" s="14">
        <f t="shared" si="89"/>
        <v>65.926201134783341</v>
      </c>
      <c r="AL83" s="22">
        <f t="shared" si="58"/>
        <v>593.91913364308118</v>
      </c>
      <c r="AM83" s="62">
        <f t="shared" si="59"/>
        <v>887.25246697641455</v>
      </c>
      <c r="AN83" s="62">
        <f ca="1">AVERAGE(OFFSET($AM$3,0,0,'Données projet'!$E$10+1,1))-AVERAGE(OFFSET($H$3,0,0,'Données projet'!$E$10+1,1))</f>
        <v>295.83974441964551</v>
      </c>
      <c r="AO83" s="62">
        <f t="shared" si="90"/>
        <v>212.24900914818096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460</v>
      </c>
      <c r="AR83" s="17">
        <f>IF(ISNA(VLOOKUP(A83,'Données projet'!$A$61:$I$81,5,0)),0%,VLOOKUP(A83,'Données projet'!$A$61:$I$81,5,0)*VLOOKUP('Données projet'!$B$10,Paramètres!$A$1:$I$89,7,0))</f>
        <v>0.40500000000000003</v>
      </c>
      <c r="AS83" s="17">
        <f>IF(ISNA(VLOOKUP(A83,'Données projet'!$A$61:$I$81,6,0)),0%,VLOOKUP(A83,'Données projet'!$A$61:$I$81,6,0)*VLOOKUP('Données projet'!$B$10,Paramètres!$A$1:$I$89,7,0))</f>
        <v>4.5000000000000005E-2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204.47240639477479</v>
      </c>
      <c r="AV83" s="23">
        <f>EXP(-LN(2)/25)*AV82+(1-EXP(-LN(2)/25))/(LN(2)/25)*Calculateur!AQ83*Calculateur!AS83*VLOOKUP('Données projet'!$B$10,Paramètres!$A$1:$I$89,3,0)*0.475*44/12</f>
        <v>28.087757438519183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232.56016383329398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14.7</v>
      </c>
      <c r="BD83" s="13">
        <f>IF('Données projet'!$A$88&gt;35,BD82+BC83-BL82,IF(A83&lt;'Données projet'!$A$88,$BA$205^A83,IF(A83='Données projet'!$A$88,'Données projet'!$B$88,BD82+BC83-BL82)))</f>
        <v>314.09999999999991</v>
      </c>
      <c r="BE83" s="14">
        <f>BD83*VLOOKUP('Données projet'!$B$11,Paramètres!$A$1:$I$89,3,0)*VLOOKUP('Données projet'!$B$11,Paramètres!$A$1:$I$89,5,0)</f>
        <v>151.08209999999997</v>
      </c>
      <c r="BF83" s="14">
        <f t="shared" si="91"/>
        <v>38.824393757983664</v>
      </c>
      <c r="BG83" s="22">
        <f t="shared" si="61"/>
        <v>330.75380996182145</v>
      </c>
      <c r="BH83" s="62">
        <f t="shared" si="62"/>
        <v>624.08714329515476</v>
      </c>
      <c r="BI83" s="62">
        <f ca="1">AVERAGE(OFFSET($BH$3,0,0,'Données projet'!$E$11+1,1))-AVERAGE(OFFSET($H$3,0,0,'Données projet'!$E$11+1,1))</f>
        <v>206.96327004330573</v>
      </c>
      <c r="BJ83" s="62">
        <f t="shared" si="92"/>
        <v>106.52590664430284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17.78040188795147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5.173370873150926</v>
      </c>
      <c r="BS83" s="24">
        <f t="shared" si="63"/>
        <v>22.953772761102396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6.3550942286383367E-14</v>
      </c>
      <c r="P84" s="14">
        <f t="shared" si="87"/>
        <v>1.0064464192543978E-12</v>
      </c>
      <c r="Q84" s="22">
        <f t="shared" si="54"/>
        <v>1.8635787380168604E-12</v>
      </c>
      <c r="R84" s="62">
        <f t="shared" si="55"/>
        <v>293.33333333333519</v>
      </c>
      <c r="S84" s="62">
        <f ca="1">AVERAGE(OFFSET($R$3,0,0,'Données projet'!$E$9+1,1))-AVERAGE(OFFSET($H$3,0,0,'Données projet'!$E$9+1,1))</f>
        <v>365.70510182727895</v>
      </c>
      <c r="T84" s="62">
        <f t="shared" si="88"/>
        <v>436.23833844962525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179.74787579736824</v>
      </c>
      <c r="AA84" s="23">
        <f>EXP(-LN(2)/25)*AA83+(1-EXP(-LN(2)/25))/(LN(2)/25)*Calculateur!V84*Calculateur!X84*VLOOKUP('Données projet'!$B$9,Paramètres!$A$1:$I$89,3,0)*0.475*44/12</f>
        <v>22.604148435735961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202.3520242331042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295.83974441964551</v>
      </c>
      <c r="AO84" s="62">
        <f t="shared" si="90"/>
        <v>212.24900914818096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200.46282722122649</v>
      </c>
      <c r="AV84" s="23">
        <f>EXP(-LN(2)/25)*AV83+(1-EXP(-LN(2)/25))/(LN(2)/25)*Calculateur!AQ84*Calculateur!AS84*VLOOKUP('Données projet'!$B$10,Paramètres!$A$1:$I$89,3,0)*0.475*44/12</f>
        <v>27.319696234291907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227.7825234555184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14.7</v>
      </c>
      <c r="BD84" s="13">
        <f>IF('Données projet'!$A$88&gt;35,BD83+BC84-BL83,IF(A84&lt;'Données projet'!$A$88,$BA$205^A84,IF(A84='Données projet'!$A$88,'Données projet'!$B$88,BD83+BC84-BL83)))</f>
        <v>328.7999999999999</v>
      </c>
      <c r="BE84" s="14">
        <f>BD84*VLOOKUP('Données projet'!$B$11,Paramètres!$A$1:$I$89,3,0)*VLOOKUP('Données projet'!$B$11,Paramètres!$A$1:$I$89,5,0)</f>
        <v>158.15279999999996</v>
      </c>
      <c r="BF84" s="14">
        <f t="shared" si="91"/>
        <v>40.425593131322856</v>
      </c>
      <c r="BG84" s="22">
        <f t="shared" si="61"/>
        <v>345.8573680370539</v>
      </c>
      <c r="BH84" s="62">
        <f t="shared" si="62"/>
        <v>639.19070137038716</v>
      </c>
      <c r="BI84" s="62">
        <f ca="1">AVERAGE(OFFSET($BH$3,0,0,'Données projet'!$E$11+1,1))-AVERAGE(OFFSET($H$3,0,0,'Données projet'!$E$11+1,1))</f>
        <v>206.96327004330573</v>
      </c>
      <c r="BJ84" s="62">
        <f t="shared" si="92"/>
        <v>106.52590664430284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17.43173905190304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3.6581256259979904</v>
      </c>
      <c r="BS84" s="24">
        <f t="shared" si="63"/>
        <v>21.08986467790103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6.3550942286383367E-14</v>
      </c>
      <c r="P85" s="14">
        <f t="shared" si="87"/>
        <v>1.0064464192543978E-12</v>
      </c>
      <c r="Q85" s="22">
        <f t="shared" si="54"/>
        <v>1.8635787380168604E-12</v>
      </c>
      <c r="R85" s="62">
        <f t="shared" si="55"/>
        <v>293.33333333333519</v>
      </c>
      <c r="S85" s="62">
        <f ca="1">AVERAGE(OFFSET($R$3,0,0,'Données projet'!$E$9+1,1))-AVERAGE(OFFSET($H$3,0,0,'Données projet'!$E$9+1,1))</f>
        <v>365.70510182727895</v>
      </c>
      <c r="T85" s="62">
        <f t="shared" si="88"/>
        <v>436.23833844962525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176.22312958836048</v>
      </c>
      <c r="AA85" s="23">
        <f>EXP(-LN(2)/25)*AA84+(1-EXP(-LN(2)/25))/(LN(2)/25)*Calculateur!V85*Calculateur!X85*VLOOKUP('Données projet'!$B$9,Paramètres!$A$1:$I$89,3,0)*0.475*44/12</f>
        <v>21.986036808060259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198.20916639642073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295.83974441964551</v>
      </c>
      <c r="AO85" s="62">
        <f t="shared" si="90"/>
        <v>212.24900914818096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196.53187344966966</v>
      </c>
      <c r="AV85" s="23">
        <f>EXP(-LN(2)/25)*AV84+(1-EXP(-LN(2)/25))/(LN(2)/25)*Calculateur!AQ85*Calculateur!AS85*VLOOKUP('Données projet'!$B$10,Paramètres!$A$1:$I$89,3,0)*0.475*44/12</f>
        <v>26.572637704084809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223.10451115375446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14.7</v>
      </c>
      <c r="BD85" s="13">
        <f>IF('Données projet'!$A$88&gt;35,BD84+BC85-BL84,IF(A85&lt;'Données projet'!$A$88,$BA$205^A85,IF(A85='Données projet'!$A$88,'Données projet'!$B$88,BD84+BC85-BL84)))</f>
        <v>343.49999999999989</v>
      </c>
      <c r="BE85" s="14">
        <f>BD85*VLOOKUP('Données projet'!$B$11,Paramètres!$A$1:$I$89,3,0)*VLOOKUP('Données projet'!$B$11,Paramètres!$A$1:$I$89,5,0)</f>
        <v>165.22349999999994</v>
      </c>
      <c r="BF85" s="14">
        <f t="shared" si="91"/>
        <v>42.018478559185546</v>
      </c>
      <c r="BG85" s="22">
        <f t="shared" si="61"/>
        <v>360.94644599058137</v>
      </c>
      <c r="BH85" s="62">
        <f t="shared" si="62"/>
        <v>654.27977932391468</v>
      </c>
      <c r="BI85" s="62">
        <f ca="1">AVERAGE(OFFSET($BH$3,0,0,'Données projet'!$E$11+1,1))-AVERAGE(OFFSET($H$3,0,0,'Données projet'!$E$11+1,1))</f>
        <v>206.96327004330573</v>
      </c>
      <c r="BJ85" s="62">
        <f t="shared" si="92"/>
        <v>106.52590664430284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17.08991328140619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2.5866854365754635</v>
      </c>
      <c r="BS85" s="24">
        <f t="shared" si="63"/>
        <v>19.676598717981655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6.3550942286383367E-14</v>
      </c>
      <c r="P86" s="14">
        <f t="shared" si="87"/>
        <v>1.0064464192543978E-12</v>
      </c>
      <c r="Q86" s="22">
        <f t="shared" si="54"/>
        <v>1.8635787380168604E-12</v>
      </c>
      <c r="R86" s="62">
        <f t="shared" si="55"/>
        <v>293.33333333333519</v>
      </c>
      <c r="S86" s="62">
        <f ca="1">AVERAGE(OFFSET($R$3,0,0,'Données projet'!$E$9+1,1))-AVERAGE(OFFSET($H$3,0,0,'Données projet'!$E$9+1,1))</f>
        <v>365.70510182727895</v>
      </c>
      <c r="T86" s="62">
        <f t="shared" si="88"/>
        <v>436.23833844962525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172.76750150262848</v>
      </c>
      <c r="AA86" s="23">
        <f>EXP(-LN(2)/25)*AA85+(1-EXP(-LN(2)/25))/(LN(2)/25)*Calculateur!V86*Calculateur!X86*VLOOKUP('Données projet'!$B$9,Paramètres!$A$1:$I$89,3,0)*0.475*44/12</f>
        <v>21.384827475348427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194.15232897797691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295.83974441964551</v>
      </c>
      <c r="AO86" s="62">
        <f t="shared" si="90"/>
        <v>212.24900914818096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192.67800328392801</v>
      </c>
      <c r="AV86" s="23">
        <f>EXP(-LN(2)/25)*AV85+(1-EXP(-LN(2)/25))/(LN(2)/25)*Calculateur!AQ86*Calculateur!AS86*VLOOKUP('Données projet'!$B$10,Paramètres!$A$1:$I$89,3,0)*0.475*44/12</f>
        <v>25.846007528672324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218.52401081260032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14.7</v>
      </c>
      <c r="BD86" s="13">
        <f>IF('Données projet'!$A$88&gt;35,BD85+BC86-BL85,IF(A86&lt;'Données projet'!$A$88,$BA$205^A86,IF(A86='Données projet'!$A$88,'Données projet'!$B$88,BD85+BC86-BL85)))</f>
        <v>358.19999999999987</v>
      </c>
      <c r="BE86" s="14">
        <f>BD86*VLOOKUP('Données projet'!$B$11,Paramètres!$A$1:$I$89,3,0)*VLOOKUP('Données projet'!$B$11,Paramètres!$A$1:$I$89,5,0)</f>
        <v>172.29419999999996</v>
      </c>
      <c r="BF86" s="14">
        <f t="shared" si="91"/>
        <v>43.603446508499317</v>
      </c>
      <c r="BG86" s="22">
        <f t="shared" si="61"/>
        <v>376.02173433563627</v>
      </c>
      <c r="BH86" s="62">
        <f t="shared" si="62"/>
        <v>669.35506766896958</v>
      </c>
      <c r="BI86" s="62">
        <f ca="1">AVERAGE(OFFSET($BH$3,0,0,'Données projet'!$E$11+1,1))-AVERAGE(OFFSET($H$3,0,0,'Données projet'!$E$11+1,1))</f>
        <v>206.96327004330573</v>
      </c>
      <c r="BJ86" s="62">
        <f t="shared" si="92"/>
        <v>106.52590664430284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16.754790505775649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1.8290628129989954</v>
      </c>
      <c r="BS86" s="24">
        <f t="shared" si="63"/>
        <v>18.583853318774644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6.3550942286383367E-14</v>
      </c>
      <c r="P87" s="14">
        <f t="shared" si="87"/>
        <v>1.0064464192543978E-12</v>
      </c>
      <c r="Q87" s="22">
        <f t="shared" si="54"/>
        <v>1.8635787380168604E-12</v>
      </c>
      <c r="R87" s="62">
        <f t="shared" si="55"/>
        <v>293.33333333333519</v>
      </c>
      <c r="S87" s="62">
        <f ca="1">AVERAGE(OFFSET($R$3,0,0,'Données projet'!$E$9+1,1))-AVERAGE(OFFSET($H$3,0,0,'Données projet'!$E$9+1,1))</f>
        <v>365.70510182727895</v>
      </c>
      <c r="T87" s="62">
        <f t="shared" si="88"/>
        <v>436.23833844962525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169.37963617593266</v>
      </c>
      <c r="AA87" s="23">
        <f>EXP(-LN(2)/25)*AA86+(1-EXP(-LN(2)/25))/(LN(2)/25)*Calculateur!V87*Calculateur!X87*VLOOKUP('Données projet'!$B$9,Paramètres!$A$1:$I$89,3,0)*0.475*44/12</f>
        <v>20.800058243455823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190.17969441938848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295.83974441964551</v>
      </c>
      <c r="AO87" s="62">
        <f t="shared" si="90"/>
        <v>212.24900914818096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188.89970516150785</v>
      </c>
      <c r="AV87" s="23">
        <f>EXP(-LN(2)/25)*AV86+(1-EXP(-LN(2)/25))/(LN(2)/25)*Calculateur!AQ87*Calculateur!AS87*VLOOKUP('Données projet'!$B$10,Paramètres!$A$1:$I$89,3,0)*0.475*44/12</f>
        <v>25.139247093618316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214.03895225512616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14.7</v>
      </c>
      <c r="BD87" s="13">
        <f>IF('Données projet'!$A$88&gt;35,BD86+BC87-BL86,IF(A87&lt;'Données projet'!$A$88,$BA$205^A87,IF(A87='Données projet'!$A$88,'Données projet'!$B$88,BD86+BC87-BL86)))</f>
        <v>372.89999999999986</v>
      </c>
      <c r="BE87" s="14">
        <f>BD87*VLOOKUP('Données projet'!$B$11,Paramètres!$A$1:$I$89,3,0)*VLOOKUP('Données projet'!$B$11,Paramètres!$A$1:$I$89,5,0)</f>
        <v>179.36489999999995</v>
      </c>
      <c r="BF87" s="14">
        <f t="shared" si="91"/>
        <v>45.180859064005347</v>
      </c>
      <c r="BG87" s="22">
        <f t="shared" si="61"/>
        <v>391.08386370314253</v>
      </c>
      <c r="BH87" s="62">
        <f t="shared" si="62"/>
        <v>684.41719703647584</v>
      </c>
      <c r="BI87" s="62">
        <f ca="1">AVERAGE(OFFSET($BH$3,0,0,'Données projet'!$E$11+1,1))-AVERAGE(OFFSET($H$3,0,0,'Données projet'!$E$11+1,1))</f>
        <v>206.96327004330573</v>
      </c>
      <c r="BJ87" s="62">
        <f t="shared" si="92"/>
        <v>106.52590664430284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16.426239283370514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1.2933427182877317</v>
      </c>
      <c r="BS87" s="24">
        <f t="shared" si="63"/>
        <v>17.719582001658246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6.3550942286383367E-14</v>
      </c>
      <c r="P88" s="14">
        <f t="shared" si="87"/>
        <v>1.0064464192543978E-12</v>
      </c>
      <c r="Q88" s="22">
        <f t="shared" si="54"/>
        <v>1.8635787380168604E-12</v>
      </c>
      <c r="R88" s="62">
        <f t="shared" si="55"/>
        <v>293.33333333333519</v>
      </c>
      <c r="S88" s="62">
        <f ca="1">AVERAGE(OFFSET($R$3,0,0,'Données projet'!$E$9+1,1))-AVERAGE(OFFSET($H$3,0,0,'Données projet'!$E$9+1,1))</f>
        <v>365.70510182727895</v>
      </c>
      <c r="T88" s="62">
        <f t="shared" si="88"/>
        <v>436.23833844962525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166.05820482189952</v>
      </c>
      <c r="AA88" s="23">
        <f>EXP(-LN(2)/25)*AA87+(1-EXP(-LN(2)/25))/(LN(2)/25)*Calculateur!V88*Calculateur!X88*VLOOKUP('Données projet'!$B$9,Paramètres!$A$1:$I$89,3,0)*0.475*44/12</f>
        <v>20.231279556960999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186.28948437886052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295.83974441964551</v>
      </c>
      <c r="AO88" s="62">
        <f t="shared" si="90"/>
        <v>212.24900914818096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185.19549716073405</v>
      </c>
      <c r="AV88" s="23">
        <f>EXP(-LN(2)/25)*AV87+(1-EXP(-LN(2)/25))/(LN(2)/25)*Calculateur!AQ88*Calculateur!AS88*VLOOKUP('Données projet'!$B$10,Paramètres!$A$1:$I$89,3,0)*0.475*44/12</f>
        <v>24.451813059827774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209.64731022056182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14.7</v>
      </c>
      <c r="BD88" s="13">
        <f>IF('Données projet'!$A$88&gt;35,BD87+BC88-BL87,IF(A88&lt;'Données projet'!$A$88,$BA$205^A88,IF(A88='Données projet'!$A$88,'Données projet'!$B$88,BD87+BC88-BL87)))</f>
        <v>387.59999999999985</v>
      </c>
      <c r="BE88" s="14">
        <f>BD88*VLOOKUP('Données projet'!$B$11,Paramètres!$A$1:$I$89,3,0)*VLOOKUP('Données projet'!$B$11,Paramètres!$A$1:$I$89,5,0)</f>
        <v>186.43559999999994</v>
      </c>
      <c r="BF88" s="14">
        <f t="shared" si="91"/>
        <v>46.751048146974803</v>
      </c>
      <c r="BG88" s="22">
        <f t="shared" si="61"/>
        <v>406.13341218931424</v>
      </c>
      <c r="BH88" s="62">
        <f t="shared" si="62"/>
        <v>699.46674552264756</v>
      </c>
      <c r="BI88" s="62">
        <f ca="1">AVERAGE(OFFSET($BH$3,0,0,'Données projet'!$E$11+1,1))-AVERAGE(OFFSET($H$3,0,0,'Données projet'!$E$11+1,1))</f>
        <v>206.96327004330573</v>
      </c>
      <c r="BJ88" s="62">
        <f t="shared" si="92"/>
        <v>106.52590664430284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16.104130750040284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0.91453140649949771</v>
      </c>
      <c r="BS88" s="24">
        <f t="shared" si="63"/>
        <v>17.018662156539783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6.3550942286383367E-14</v>
      </c>
      <c r="P89" s="14">
        <f t="shared" si="87"/>
        <v>1.0064464192543978E-12</v>
      </c>
      <c r="Q89" s="22">
        <f t="shared" si="54"/>
        <v>1.8635787380168604E-12</v>
      </c>
      <c r="R89" s="62">
        <f t="shared" si="55"/>
        <v>293.33333333333519</v>
      </c>
      <c r="S89" s="62">
        <f ca="1">AVERAGE(OFFSET($R$3,0,0,'Données projet'!$E$9+1,1))-AVERAGE(OFFSET($H$3,0,0,'Données projet'!$E$9+1,1))</f>
        <v>365.70510182727895</v>
      </c>
      <c r="T89" s="62">
        <f t="shared" si="88"/>
        <v>436.23833844962525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162.80190471084589</v>
      </c>
      <c r="AA89" s="23">
        <f>EXP(-LN(2)/25)*AA88+(1-EXP(-LN(2)/25))/(LN(2)/25)*Calculateur!V89*Calculateur!X89*VLOOKUP('Données projet'!$B$9,Paramètres!$A$1:$I$89,3,0)*0.475*44/12</f>
        <v>19.678054153559149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182.47995886440503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295.83974441964551</v>
      </c>
      <c r="AO89" s="62">
        <f t="shared" si="90"/>
        <v>212.24900914818096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181.56392641951163</v>
      </c>
      <c r="AV89" s="23">
        <f>EXP(-LN(2)/25)*AV88+(1-EXP(-LN(2)/25))/(LN(2)/25)*Calculateur!AQ89*Calculateur!AS89*VLOOKUP('Données projet'!$B$10,Paramètres!$A$1:$I$89,3,0)*0.475*44/12</f>
        <v>23.78317694584182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205.34710336535346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14.7</v>
      </c>
      <c r="BD89" s="13">
        <f>IF('Données projet'!$A$88&gt;35,BD88+BC89-BL88,IF(A89&lt;'Données projet'!$A$88,$BA$205^A89,IF(A89='Données projet'!$A$88,'Données projet'!$B$88,BD88+BC89-BL88)))</f>
        <v>402.29999999999984</v>
      </c>
      <c r="BE89" s="14">
        <f>BD89*VLOOKUP('Données projet'!$B$11,Paramètres!$A$1:$I$89,3,0)*VLOOKUP('Données projet'!$B$11,Paramètres!$A$1:$I$89,5,0)</f>
        <v>193.50629999999992</v>
      </c>
      <c r="BF89" s="14">
        <f t="shared" si="91"/>
        <v>48.314319075937753</v>
      </c>
      <c r="BG89" s="22">
        <f t="shared" si="61"/>
        <v>421.17091155725808</v>
      </c>
      <c r="BH89" s="62">
        <f t="shared" si="62"/>
        <v>714.50424489059139</v>
      </c>
      <c r="BI89" s="62">
        <f ca="1">AVERAGE(OFFSET($BH$3,0,0,'Données projet'!$E$11+1,1))-AVERAGE(OFFSET($H$3,0,0,'Données projet'!$E$11+1,1))</f>
        <v>206.96327004330573</v>
      </c>
      <c r="BJ89" s="62">
        <f t="shared" si="92"/>
        <v>106.52590664430284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15.788338568581855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0.64667135914386586</v>
      </c>
      <c r="BS89" s="24">
        <f t="shared" si="63"/>
        <v>16.435009927725719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6.3550942286383367E-14</v>
      </c>
      <c r="P90" s="14">
        <f t="shared" si="87"/>
        <v>1.0064464192543978E-12</v>
      </c>
      <c r="Q90" s="22">
        <f t="shared" si="54"/>
        <v>1.8635787380168604E-12</v>
      </c>
      <c r="R90" s="62">
        <f t="shared" si="55"/>
        <v>293.33333333333519</v>
      </c>
      <c r="S90" s="62">
        <f ca="1">AVERAGE(OFFSET($R$3,0,0,'Données projet'!$E$9+1,1))-AVERAGE(OFFSET($H$3,0,0,'Données projet'!$E$9+1,1))</f>
        <v>365.70510182727895</v>
      </c>
      <c r="T90" s="62">
        <f t="shared" si="88"/>
        <v>436.23833844962525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159.60945865882309</v>
      </c>
      <c r="AA90" s="23">
        <f>EXP(-LN(2)/25)*AA89+(1-EXP(-LN(2)/25))/(LN(2)/25)*Calculateur!V90*Calculateur!X90*VLOOKUP('Données projet'!$B$9,Paramètres!$A$1:$I$89,3,0)*0.475*44/12</f>
        <v>19.139956727906181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178.74941538672925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295.83974441964551</v>
      </c>
      <c r="AO90" s="62">
        <f t="shared" si="90"/>
        <v>212.24900914818096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178.00356856548515</v>
      </c>
      <c r="AV90" s="23">
        <f>EXP(-LN(2)/25)*AV89+(1-EXP(-LN(2)/25))/(LN(2)/25)*Calculateur!AQ90*Calculateur!AS90*VLOOKUP('Données projet'!$B$10,Paramètres!$A$1:$I$89,3,0)*0.475*44/12</f>
        <v>23.132824721554858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201.13639328704002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>
        <f>VLOOKUP(A90,'Données projet'!$A$87:$I$107,2,0)</f>
        <v>417</v>
      </c>
      <c r="BB90" s="13">
        <f>VLOOKUP(A90,'Données projet'!$A$87:$I$107,9,0)</f>
        <v>14.7</v>
      </c>
      <c r="BC90" s="13">
        <f t="array" ref="BC90">INDEX(BB:BB,MIN(IF(ISNUMBER(BB90:BB286),ROW(BB90:BB286),"")))</f>
        <v>14.7</v>
      </c>
      <c r="BD90" s="13">
        <f>IF('Données projet'!$A$88&gt;35,BD89+BC90-BL89,IF(A90&lt;'Données projet'!$A$88,$BA$205^A90,IF(A90='Données projet'!$A$88,'Données projet'!$B$88,BD89+BC90-BL89)))</f>
        <v>416.99999999999983</v>
      </c>
      <c r="BE90" s="14">
        <f>BD90*VLOOKUP('Données projet'!$B$11,Paramètres!$A$1:$I$89,3,0)*VLOOKUP('Données projet'!$B$11,Paramètres!$A$1:$I$89,5,0)</f>
        <v>200.57699999999991</v>
      </c>
      <c r="BF90" s="14">
        <f t="shared" si="91"/>
        <v>49.870953592348712</v>
      </c>
      <c r="BG90" s="22">
        <f t="shared" si="61"/>
        <v>436.19685250667379</v>
      </c>
      <c r="BH90" s="62">
        <f t="shared" si="62"/>
        <v>729.53018584000711</v>
      </c>
      <c r="BI90" s="62">
        <f ca="1">AVERAGE(OFFSET($BH$3,0,0,'Données projet'!$E$11+1,1))-AVERAGE(OFFSET($H$3,0,0,'Données projet'!$E$11+1,1))</f>
        <v>206.96327004330573</v>
      </c>
      <c r="BJ90" s="62">
        <f t="shared" si="92"/>
        <v>106.52590664430284</v>
      </c>
      <c r="BK90" s="16">
        <f>IF(ISNA(VLOOKUP(A90,'Données projet'!$A$87:$I$107,3,0)),0,VLOOKUP(A90,'Données projet'!$A$87:$I$107,3,0))</f>
        <v>4</v>
      </c>
      <c r="BL90" s="16">
        <f>IF(ISNA(VLOOKUP(A90,'Données projet'!$A$87:$I$107,4,0)),0,VLOOKUP(A90,'Données projet'!$A$87:$I$107,4,0))</f>
        <v>65</v>
      </c>
      <c r="BM90" s="17">
        <f>IF(ISNA(VLOOKUP(A90,'Données projet'!$A$87:$I$107,5,0)),0%,VLOOKUP(A90,'Données projet'!$A$87:$I$107,5,0)*VLOOKUP('Données projet'!$B$11,Paramètres!$A$1:$I$89,7,0))</f>
        <v>0.44000000000000006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0.2</v>
      </c>
      <c r="BP90" s="23">
        <f>EXP(-LN(2)/35)*BP89+(1-EXP(-LN(2)/35))/(LN(2)/35)*BL90*BM90*VLOOKUP('Données projet'!$B$11,Paramètres!$A$1:$I$89,3,0)*0.475*44/12</f>
        <v>33.727755466887196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7.537114259682741</v>
      </c>
      <c r="BS90" s="24">
        <f t="shared" si="63"/>
        <v>41.264869726569934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6.3550942286383367E-14</v>
      </c>
      <c r="P91" s="14">
        <f t="shared" si="87"/>
        <v>1.0064464192543978E-12</v>
      </c>
      <c r="Q91" s="22">
        <f t="shared" si="54"/>
        <v>1.8635787380168604E-12</v>
      </c>
      <c r="R91" s="62">
        <f t="shared" si="55"/>
        <v>293.33333333333519</v>
      </c>
      <c r="S91" s="62">
        <f ca="1">AVERAGE(OFFSET($R$3,0,0,'Données projet'!$E$9+1,1))-AVERAGE(OFFSET($H$3,0,0,'Données projet'!$E$9+1,1))</f>
        <v>365.70510182727895</v>
      </c>
      <c r="T91" s="62">
        <f t="shared" si="88"/>
        <v>436.23833844962525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156.47961452668062</v>
      </c>
      <c r="AA91" s="23">
        <f>EXP(-LN(2)/25)*AA90+(1-EXP(-LN(2)/25))/(LN(2)/25)*Calculateur!V91*Calculateur!X91*VLOOKUP('Données projet'!$B$9,Paramètres!$A$1:$I$89,3,0)*0.475*44/12</f>
        <v>18.616573604655006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175.09618813133562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295.83974441964551</v>
      </c>
      <c r="AO91" s="62">
        <f t="shared" si="90"/>
        <v>212.24900914818096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174.51302715737228</v>
      </c>
      <c r="AV91" s="23">
        <f>EXP(-LN(2)/25)*AV90+(1-EXP(-LN(2)/25))/(LN(2)/25)*Calculateur!AQ91*Calculateur!AS91*VLOOKUP('Données projet'!$B$10,Paramètres!$A$1:$I$89,3,0)*0.475*44/12</f>
        <v>22.500256413041559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197.01328357041385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12.833333333333334</v>
      </c>
      <c r="BD91" s="13">
        <f>IF('Données projet'!$A$88&gt;35,BD90+BC91-BL90,IF(A91&lt;'Données projet'!$A$88,$BA$205^A91,IF(A91='Données projet'!$A$88,'Données projet'!$B$88,BD90+BC91-BL90)))</f>
        <v>364.83333333333314</v>
      </c>
      <c r="BE91" s="14">
        <f>BD91*VLOOKUP('Données projet'!$B$11,Paramètres!$A$1:$I$89,3,0)*VLOOKUP('Données projet'!$B$11,Paramètres!$A$1:$I$89,5,0)</f>
        <v>175.48483333333326</v>
      </c>
      <c r="BF91" s="14">
        <f t="shared" si="91"/>
        <v>44.316164362131254</v>
      </c>
      <c r="BG91" s="22">
        <f t="shared" si="61"/>
        <v>382.82007098626735</v>
      </c>
      <c r="BH91" s="62">
        <f t="shared" si="62"/>
        <v>676.15340431960067</v>
      </c>
      <c r="BI91" s="62">
        <f ca="1">AVERAGE(OFFSET($BH$3,0,0,'Données projet'!$E$11+1,1))-AVERAGE(OFFSET($H$3,0,0,'Données projet'!$E$11+1,1))</f>
        <v>206.96327004330573</v>
      </c>
      <c r="BJ91" s="62">
        <f t="shared" si="92"/>
        <v>106.52590664430284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33.066374754081068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5.3295446035994916</v>
      </c>
      <c r="BS91" s="24">
        <f t="shared" si="63"/>
        <v>38.395919357680562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6.3550942286383367E-14</v>
      </c>
      <c r="P92" s="14">
        <f t="shared" si="87"/>
        <v>1.0064464192543978E-12</v>
      </c>
      <c r="Q92" s="22">
        <f t="shared" si="54"/>
        <v>1.8635787380168604E-12</v>
      </c>
      <c r="R92" s="62">
        <f t="shared" si="55"/>
        <v>293.33333333333519</v>
      </c>
      <c r="S92" s="62">
        <f ca="1">AVERAGE(OFFSET($R$3,0,0,'Données projet'!$E$9+1,1))-AVERAGE(OFFSET($H$3,0,0,'Données projet'!$E$9+1,1))</f>
        <v>365.70510182727895</v>
      </c>
      <c r="T92" s="62">
        <f t="shared" si="88"/>
        <v>436.23833844962525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153.41114472895305</v>
      </c>
      <c r="AA92" s="23">
        <f>EXP(-LN(2)/25)*AA91+(1-EXP(-LN(2)/25))/(LN(2)/25)*Calculateur!V92*Calculateur!X92*VLOOKUP('Données projet'!$B$9,Paramètres!$A$1:$I$89,3,0)*0.475*44/12</f>
        <v>18.107502420432656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171.51864714938571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295.83974441964551</v>
      </c>
      <c r="AO92" s="62">
        <f t="shared" si="90"/>
        <v>212.24900914818096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171.09093313725245</v>
      </c>
      <c r="AV92" s="23">
        <f>EXP(-LN(2)/25)*AV91+(1-EXP(-LN(2)/25))/(LN(2)/25)*Calculateur!AQ92*Calculateur!AS92*VLOOKUP('Données projet'!$B$10,Paramètres!$A$1:$I$89,3,0)*0.475*44/12</f>
        <v>21.884985718189878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192.97591885544233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12.833333333333334</v>
      </c>
      <c r="BD92" s="13">
        <f>IF('Données projet'!$A$88&gt;35,BD91+BC92-BL91,IF(A92&lt;'Données projet'!$A$88,$BA$205^A92,IF(A92='Données projet'!$A$88,'Données projet'!$B$88,BD91+BC92-BL91)))</f>
        <v>377.66666666666646</v>
      </c>
      <c r="BE92" s="14">
        <f>BD92*VLOOKUP('Données projet'!$B$11,Paramètres!$A$1:$I$89,3,0)*VLOOKUP('Données projet'!$B$11,Paramètres!$A$1:$I$89,5,0)</f>
        <v>181.65766666666659</v>
      </c>
      <c r="BF92" s="14">
        <f t="shared" si="91"/>
        <v>45.690789464174628</v>
      </c>
      <c r="BG92" s="22">
        <f t="shared" si="61"/>
        <v>395.96522776121509</v>
      </c>
      <c r="BH92" s="62">
        <f t="shared" si="62"/>
        <v>689.2985610945484</v>
      </c>
      <c r="BI92" s="62">
        <f ca="1">AVERAGE(OFFSET($BH$3,0,0,'Données projet'!$E$11+1,1))-AVERAGE(OFFSET($H$3,0,0,'Données projet'!$E$11+1,1))</f>
        <v>206.96327004330573</v>
      </c>
      <c r="BJ92" s="62">
        <f t="shared" si="92"/>
        <v>106.52590664430284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32.417963313650667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3.7685571298413709</v>
      </c>
      <c r="BS92" s="24">
        <f t="shared" si="63"/>
        <v>36.186520443492036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6.3550942286383367E-14</v>
      </c>
      <c r="P93" s="14">
        <f t="shared" si="87"/>
        <v>1.0064464192543978E-12</v>
      </c>
      <c r="Q93" s="22">
        <f t="shared" si="54"/>
        <v>1.8635787380168604E-12</v>
      </c>
      <c r="R93" s="62">
        <f t="shared" si="55"/>
        <v>293.33333333333519</v>
      </c>
      <c r="S93" s="62">
        <f ca="1">AVERAGE(OFFSET($R$3,0,0,'Données projet'!$E$9+1,1))-AVERAGE(OFFSET($H$3,0,0,'Données projet'!$E$9+1,1))</f>
        <v>365.70510182727895</v>
      </c>
      <c r="T93" s="62">
        <f t="shared" si="88"/>
        <v>436.23833844962525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150.40284575237715</v>
      </c>
      <c r="AA93" s="23">
        <f>EXP(-LN(2)/25)*AA92+(1-EXP(-LN(2)/25))/(LN(2)/25)*Calculateur!V93*Calculateur!X93*VLOOKUP('Données projet'!$B$9,Paramètres!$A$1:$I$89,3,0)*0.475*44/12</f>
        <v>17.612351814513758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168.01519756689089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295.83974441964551</v>
      </c>
      <c r="AO93" s="62">
        <f t="shared" si="90"/>
        <v>212.24900914818096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167.73594429359594</v>
      </c>
      <c r="AV93" s="23">
        <f>EXP(-LN(2)/25)*AV92+(1-EXP(-LN(2)/25))/(LN(2)/25)*Calculateur!AQ93*Calculateur!AS93*VLOOKUP('Données projet'!$B$10,Paramètres!$A$1:$I$89,3,0)*0.475*44/12</f>
        <v>21.286539632844594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189.02248392644054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12.833333333333334</v>
      </c>
      <c r="BD93" s="13">
        <f>IF('Données projet'!$A$88&gt;35,BD92+BC93-BL92,IF(A93&lt;'Données projet'!$A$88,$BA$205^A93,IF(A93='Données projet'!$A$88,'Données projet'!$B$88,BD92+BC93-BL92)))</f>
        <v>390.49999999999977</v>
      </c>
      <c r="BE93" s="14">
        <f>BD93*VLOOKUP('Données projet'!$B$11,Paramètres!$A$1:$I$89,3,0)*VLOOKUP('Données projet'!$B$11,Paramètres!$A$1:$I$89,5,0)</f>
        <v>187.83049999999989</v>
      </c>
      <c r="BF93" s="14">
        <f t="shared" si="91"/>
        <v>47.059987092064794</v>
      </c>
      <c r="BG93" s="22">
        <f t="shared" si="61"/>
        <v>409.10093168534598</v>
      </c>
      <c r="BH93" s="62">
        <f t="shared" si="62"/>
        <v>702.4342650186793</v>
      </c>
      <c r="BI93" s="62">
        <f ca="1">AVERAGE(OFFSET($BH$3,0,0,'Données projet'!$E$11+1,1))-AVERAGE(OFFSET($H$3,0,0,'Données projet'!$E$11+1,1))</f>
        <v>206.96327004330573</v>
      </c>
      <c r="BJ93" s="62">
        <f t="shared" si="92"/>
        <v>106.52590664430284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31.782266826075176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2.6647723017997462</v>
      </c>
      <c r="BS93" s="24">
        <f t="shared" si="63"/>
        <v>34.447039127874923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6.3550942286383367E-14</v>
      </c>
      <c r="P94" s="14">
        <f t="shared" si="87"/>
        <v>1.0064464192543978E-12</v>
      </c>
      <c r="Q94" s="22">
        <f t="shared" si="54"/>
        <v>1.8635787380168604E-12</v>
      </c>
      <c r="R94" s="62">
        <f t="shared" si="55"/>
        <v>293.33333333333519</v>
      </c>
      <c r="S94" s="62">
        <f ca="1">AVERAGE(OFFSET($R$3,0,0,'Données projet'!$E$9+1,1))-AVERAGE(OFFSET($H$3,0,0,'Données projet'!$E$9+1,1))</f>
        <v>365.70510182727895</v>
      </c>
      <c r="T94" s="62">
        <f t="shared" si="88"/>
        <v>436.23833844962525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147.4535376838507</v>
      </c>
      <c r="AA94" s="23">
        <f>EXP(-LN(2)/25)*AA93+(1-EXP(-LN(2)/25))/(LN(2)/25)*Calculateur!V94*Calculateur!X94*VLOOKUP('Données projet'!$B$9,Paramètres!$A$1:$I$89,3,0)*0.475*44/12</f>
        <v>17.13074112795255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164.58427881180324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295.83974441964551</v>
      </c>
      <c r="AO94" s="62">
        <f t="shared" si="90"/>
        <v>212.24900914818096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164.44674473482237</v>
      </c>
      <c r="AV94" s="23">
        <f>EXP(-LN(2)/25)*AV93+(1-EXP(-LN(2)/25))/(LN(2)/25)*Calculateur!AQ94*Calculateur!AS94*VLOOKUP('Données projet'!$B$10,Paramètres!$A$1:$I$89,3,0)*0.475*44/12</f>
        <v>20.70445808717399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185.15120282199638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12.833333333333334</v>
      </c>
      <c r="BD94" s="13">
        <f>IF('Données projet'!$A$88&gt;35,BD93+BC94-BL93,IF(A94&lt;'Données projet'!$A$88,$BA$205^A94,IF(A94='Données projet'!$A$88,'Données projet'!$B$88,BD93+BC94-BL93)))</f>
        <v>403.33333333333309</v>
      </c>
      <c r="BE94" s="14">
        <f>BD94*VLOOKUP('Données projet'!$B$11,Paramètres!$A$1:$I$89,3,0)*VLOOKUP('Données projet'!$B$11,Paramètres!$A$1:$I$89,5,0)</f>
        <v>194.00333333333322</v>
      </c>
      <c r="BF94" s="14">
        <f t="shared" si="91"/>
        <v>48.423956067787799</v>
      </c>
      <c r="BG94" s="22">
        <f t="shared" si="61"/>
        <v>422.22752904028579</v>
      </c>
      <c r="BH94" s="62">
        <f t="shared" si="62"/>
        <v>715.5608623736191</v>
      </c>
      <c r="BI94" s="62">
        <f ca="1">AVERAGE(OFFSET($BH$3,0,0,'Données projet'!$E$11+1,1))-AVERAGE(OFFSET($H$3,0,0,'Données projet'!$E$11+1,1))</f>
        <v>206.96327004330573</v>
      </c>
      <c r="BJ94" s="62">
        <f t="shared" si="92"/>
        <v>106.52590664430284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31.15903595888447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1.8842785649206859</v>
      </c>
      <c r="BS94" s="24">
        <f t="shared" si="63"/>
        <v>33.043314523805158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6.3550942286383367E-14</v>
      </c>
      <c r="P95" s="14">
        <f t="shared" si="87"/>
        <v>1.0064464192543978E-12</v>
      </c>
      <c r="Q95" s="22">
        <f t="shared" si="54"/>
        <v>1.8635787380168604E-12</v>
      </c>
      <c r="R95" s="62">
        <f t="shared" si="55"/>
        <v>293.33333333333519</v>
      </c>
      <c r="S95" s="62">
        <f ca="1">AVERAGE(OFFSET($R$3,0,0,'Données projet'!$E$9+1,1))-AVERAGE(OFFSET($H$3,0,0,'Données projet'!$E$9+1,1))</f>
        <v>365.70510182727895</v>
      </c>
      <c r="T95" s="62">
        <f t="shared" si="88"/>
        <v>436.23833844962525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144.56206374764776</v>
      </c>
      <c r="AA95" s="23">
        <f>EXP(-LN(2)/25)*AA94+(1-EXP(-LN(2)/25))/(LN(2)/25)*Calculateur!V95*Calculateur!X95*VLOOKUP('Données projet'!$B$9,Paramètres!$A$1:$I$89,3,0)*0.475*44/12</f>
        <v>16.662300110942166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161.22436385858992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295.83974441964551</v>
      </c>
      <c r="AO95" s="62">
        <f t="shared" si="90"/>
        <v>212.24900914818096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161.22204437318274</v>
      </c>
      <c r="AV95" s="23">
        <f>EXP(-LN(2)/25)*AV94+(1-EXP(-LN(2)/25))/(LN(2)/25)*Calculateur!AQ95*Calculateur!AS95*VLOOKUP('Données projet'!$B$10,Paramètres!$A$1:$I$89,3,0)*0.475*44/12</f>
        <v>20.138293591980087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181.36033796516284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12.833333333333334</v>
      </c>
      <c r="BD95" s="13">
        <f>IF('Données projet'!$A$88&gt;35,BD94+BC95-BL94,IF(A95&lt;'Données projet'!$A$88,$BA$205^A95,IF(A95='Données projet'!$A$88,'Données projet'!$B$88,BD94+BC95-BL94)))</f>
        <v>416.1666666666664</v>
      </c>
      <c r="BE95" s="14">
        <f>BD95*VLOOKUP('Données projet'!$B$11,Paramètres!$A$1:$I$89,3,0)*VLOOKUP('Données projet'!$B$11,Paramètres!$A$1:$I$89,5,0)</f>
        <v>200.17616666666655</v>
      </c>
      <c r="BF95" s="14">
        <f t="shared" si="91"/>
        <v>49.782881842570582</v>
      </c>
      <c r="BG95" s="22">
        <f t="shared" si="61"/>
        <v>435.34534282025464</v>
      </c>
      <c r="BH95" s="62">
        <f t="shared" si="62"/>
        <v>728.67867615358796</v>
      </c>
      <c r="BI95" s="62">
        <f ca="1">AVERAGE(OFFSET($BH$3,0,0,'Données projet'!$E$11+1,1))-AVERAGE(OFFSET($H$3,0,0,'Données projet'!$E$11+1,1))</f>
        <v>206.96327004330573</v>
      </c>
      <c r="BJ95" s="62">
        <f t="shared" si="92"/>
        <v>106.52590664430284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30.548026268866078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1.3323861508998733</v>
      </c>
      <c r="BS95" s="24">
        <f t="shared" si="63"/>
        <v>31.88041241976595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6.3550942286383367E-14</v>
      </c>
      <c r="P96" s="14">
        <f t="shared" si="87"/>
        <v>1.0064464192543978E-12</v>
      </c>
      <c r="Q96" s="22">
        <f t="shared" si="54"/>
        <v>1.8635787380168604E-12</v>
      </c>
      <c r="R96" s="62">
        <f t="shared" si="55"/>
        <v>293.33333333333519</v>
      </c>
      <c r="S96" s="62">
        <f ca="1">AVERAGE(OFFSET($R$3,0,0,'Données projet'!$E$9+1,1))-AVERAGE(OFFSET($H$3,0,0,'Données projet'!$E$9+1,1))</f>
        <v>365.70510182727895</v>
      </c>
      <c r="T96" s="62">
        <f t="shared" si="88"/>
        <v>436.23833844962525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141.7272898517088</v>
      </c>
      <c r="AA96" s="23">
        <f>EXP(-LN(2)/25)*AA95+(1-EXP(-LN(2)/25))/(LN(2)/25)*Calculateur!V96*Calculateur!X96*VLOOKUP('Données projet'!$B$9,Paramètres!$A$1:$I$89,3,0)*0.475*44/12</f>
        <v>16.206668638176172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157.93395848988499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295.83974441964551</v>
      </c>
      <c r="AO96" s="62">
        <f t="shared" si="90"/>
        <v>212.24900914818096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158.06057841876185</v>
      </c>
      <c r="AV96" s="23">
        <f>EXP(-LN(2)/25)*AV95+(1-EXP(-LN(2)/25))/(LN(2)/25)*Calculateur!AQ96*Calculateur!AS96*VLOOKUP('Données projet'!$B$10,Paramètres!$A$1:$I$89,3,0)*0.475*44/12</f>
        <v>19.587610894680559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177.6481893134424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12.833333333333334</v>
      </c>
      <c r="BD96" s="13">
        <f>IF('Données projet'!$A$88&gt;35,BD95+BC96-BL95,IF(A96&lt;'Données projet'!$A$88,$BA$205^A96,IF(A96='Données projet'!$A$88,'Données projet'!$B$88,BD95+BC96-BL95)))</f>
        <v>428.99999999999972</v>
      </c>
      <c r="BE96" s="14">
        <f>BD96*VLOOKUP('Données projet'!$B$11,Paramètres!$A$1:$I$89,3,0)*VLOOKUP('Données projet'!$B$11,Paramètres!$A$1:$I$89,5,0)</f>
        <v>206.34899999999988</v>
      </c>
      <c r="BF96" s="14">
        <f t="shared" si="91"/>
        <v>51.136937780341434</v>
      </c>
      <c r="BG96" s="22">
        <f t="shared" si="61"/>
        <v>448.45467496742776</v>
      </c>
      <c r="BH96" s="62">
        <f t="shared" si="62"/>
        <v>741.78800830076102</v>
      </c>
      <c r="BI96" s="62">
        <f ca="1">AVERAGE(OFFSET($BH$3,0,0,'Données projet'!$E$11+1,1))-AVERAGE(OFFSET($H$3,0,0,'Données projet'!$E$11+1,1))</f>
        <v>206.96327004330573</v>
      </c>
      <c r="BJ96" s="62">
        <f t="shared" si="92"/>
        <v>106.52590664430284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29.948998106189837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0.94213928246034306</v>
      </c>
      <c r="BS96" s="24">
        <f t="shared" si="63"/>
        <v>30.891137388650179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6.3550942286383367E-14</v>
      </c>
      <c r="P97" s="14">
        <f t="shared" si="87"/>
        <v>1.0064464192543978E-12</v>
      </c>
      <c r="Q97" s="22">
        <f t="shared" si="54"/>
        <v>1.8635787380168604E-12</v>
      </c>
      <c r="R97" s="62">
        <f t="shared" si="55"/>
        <v>293.33333333333519</v>
      </c>
      <c r="S97" s="62">
        <f ca="1">AVERAGE(OFFSET($R$3,0,0,'Données projet'!$E$9+1,1))-AVERAGE(OFFSET($H$3,0,0,'Données projet'!$E$9+1,1))</f>
        <v>365.70510182727895</v>
      </c>
      <c r="T97" s="62">
        <f t="shared" si="88"/>
        <v>436.23833844962525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138.94810414282784</v>
      </c>
      <c r="AA97" s="23">
        <f>EXP(-LN(2)/25)*AA96+(1-EXP(-LN(2)/25))/(LN(2)/25)*Calculateur!V97*Calculateur!X97*VLOOKUP('Données projet'!$B$9,Paramètres!$A$1:$I$89,3,0)*0.475*44/12</f>
        <v>15.763496431993582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154.71160057482143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295.83974441964551</v>
      </c>
      <c r="AO97" s="62">
        <f t="shared" si="90"/>
        <v>212.24900914818096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154.96110688340332</v>
      </c>
      <c r="AV97" s="23">
        <f>EXP(-LN(2)/25)*AV96+(1-EXP(-LN(2)/25))/(LN(2)/25)*Calculateur!AQ97*Calculateur!AS97*VLOOKUP('Données projet'!$B$10,Paramètres!$A$1:$I$89,3,0)*0.475*44/12</f>
        <v>19.051986644697831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174.01309352810114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12.833333333333334</v>
      </c>
      <c r="BD97" s="13">
        <f>IF('Données projet'!$A$88&gt;35,BD96+BC97-BL96,IF(A97&lt;'Données projet'!$A$88,$BA$205^A97,IF(A97='Données projet'!$A$88,'Données projet'!$B$88,BD96+BC97-BL96)))</f>
        <v>441.83333333333303</v>
      </c>
      <c r="BE97" s="14">
        <f>BD97*VLOOKUP('Données projet'!$B$11,Paramètres!$A$1:$I$89,3,0)*VLOOKUP('Données projet'!$B$11,Paramètres!$A$1:$I$89,5,0)</f>
        <v>212.52183333333318</v>
      </c>
      <c r="BF97" s="14">
        <f t="shared" si="91"/>
        <v>52.486286283299279</v>
      </c>
      <c r="BG97" s="22">
        <f t="shared" si="61"/>
        <v>461.55580833230152</v>
      </c>
      <c r="BH97" s="62">
        <f t="shared" si="62"/>
        <v>754.88914166563484</v>
      </c>
      <c r="BI97" s="62">
        <f ca="1">AVERAGE(OFFSET($BH$3,0,0,'Données projet'!$E$11+1,1))-AVERAGE(OFFSET($H$3,0,0,'Données projet'!$E$11+1,1))</f>
        <v>206.96327004330573</v>
      </c>
      <c r="BJ97" s="62">
        <f t="shared" si="92"/>
        <v>106.52590664430284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29.361716520412575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0.66619307544993678</v>
      </c>
      <c r="BS97" s="24">
        <f t="shared" si="63"/>
        <v>30.027909595862511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6.3550942286383367E-14</v>
      </c>
      <c r="P98" s="14">
        <f t="shared" si="87"/>
        <v>1.0064464192543978E-12</v>
      </c>
      <c r="Q98" s="22">
        <f t="shared" si="54"/>
        <v>1.8635787380168604E-12</v>
      </c>
      <c r="R98" s="62">
        <f t="shared" si="55"/>
        <v>293.33333333333519</v>
      </c>
      <c r="S98" s="62">
        <f ca="1">AVERAGE(OFFSET($R$3,0,0,'Données projet'!$E$9+1,1))-AVERAGE(OFFSET($H$3,0,0,'Données projet'!$E$9+1,1))</f>
        <v>365.70510182727895</v>
      </c>
      <c r="T98" s="62">
        <f t="shared" si="88"/>
        <v>436.23833844962525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136.22341657056216</v>
      </c>
      <c r="AA98" s="23">
        <f>EXP(-LN(2)/25)*AA97+(1-EXP(-LN(2)/25))/(LN(2)/25)*Calculateur!V98*Calculateur!X98*VLOOKUP('Données projet'!$B$9,Paramètres!$A$1:$I$89,3,0)*0.475*44/12</f>
        <v>15.332442793094469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151.55585936365662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295.83974441964551</v>
      </c>
      <c r="AO98" s="62">
        <f t="shared" si="90"/>
        <v>212.24900914818096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151.92241409436221</v>
      </c>
      <c r="AV98" s="23">
        <f>EXP(-LN(2)/25)*AV97+(1-EXP(-LN(2)/25))/(LN(2)/25)*Calculateur!AQ98*Calculateur!AS98*VLOOKUP('Données projet'!$B$10,Paramètres!$A$1:$I$89,3,0)*0.475*44/12</f>
        <v>18.531009067998134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170.45342316236034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12.833333333333334</v>
      </c>
      <c r="BD98" s="13">
        <f>IF('Données projet'!$A$88&gt;35,BD97+BC98-BL97,IF(A98&lt;'Données projet'!$A$88,$BA$205^A98,IF(A98='Données projet'!$A$88,'Données projet'!$B$88,BD97+BC98-BL97)))</f>
        <v>454.66666666666634</v>
      </c>
      <c r="BE98" s="14">
        <f>BD98*VLOOKUP('Données projet'!$B$11,Paramètres!$A$1:$I$89,3,0)*VLOOKUP('Données projet'!$B$11,Paramètres!$A$1:$I$89,5,0)</f>
        <v>218.69466666666651</v>
      </c>
      <c r="BF98" s="14">
        <f t="shared" si="91"/>
        <v>53.831079783035655</v>
      </c>
      <c r="BG98" s="22">
        <f t="shared" si="61"/>
        <v>474.64900839989804</v>
      </c>
      <c r="BH98" s="62">
        <f t="shared" si="62"/>
        <v>767.98234173323135</v>
      </c>
      <c r="BI98" s="62">
        <f ca="1">AVERAGE(OFFSET($BH$3,0,0,'Données projet'!$E$11+1,1))-AVERAGE(OFFSET($H$3,0,0,'Données projet'!$E$11+1,1))</f>
        <v>206.96327004330573</v>
      </c>
      <c r="BJ98" s="62">
        <f t="shared" si="92"/>
        <v>106.52590664430284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28.785951168326008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0.47106964123017164</v>
      </c>
      <c r="BS98" s="24">
        <f t="shared" si="63"/>
        <v>29.257020809556181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6.3550942286383367E-14</v>
      </c>
      <c r="P99" s="14">
        <f t="shared" si="87"/>
        <v>1.0064464192543978E-12</v>
      </c>
      <c r="Q99" s="22">
        <f t="shared" ref="Q99:Q130" si="107">(O99+P99)*0.475*44/12</f>
        <v>1.8635787380168604E-12</v>
      </c>
      <c r="R99" s="62">
        <f t="shared" si="55"/>
        <v>293.33333333333519</v>
      </c>
      <c r="S99" s="62">
        <f ca="1">AVERAGE(OFFSET($R$3,0,0,'Données projet'!$E$9+1,1))-AVERAGE(OFFSET($H$3,0,0,'Données projet'!$E$9+1,1))</f>
        <v>365.70510182727895</v>
      </c>
      <c r="T99" s="62">
        <f t="shared" si="88"/>
        <v>436.23833844962525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133.55215845969329</v>
      </c>
      <c r="AA99" s="23">
        <f>EXP(-LN(2)/25)*AA98+(1-EXP(-LN(2)/25))/(LN(2)/25)*Calculateur!V99*Calculateur!X99*VLOOKUP('Données projet'!$B$9,Paramètres!$A$1:$I$89,3,0)*0.475*44/12</f>
        <v>14.913176338619177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148.46533479831245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295.83974441964551</v>
      </c>
      <c r="AO99" s="62">
        <f t="shared" si="90"/>
        <v>212.24900914818096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148.9433082174946</v>
      </c>
      <c r="AV99" s="23">
        <f>EXP(-LN(2)/25)*AV98+(1-EXP(-LN(2)/25))/(LN(2)/25)*Calculateur!AQ99*Calculateur!AS99*VLOOKUP('Données projet'!$B$10,Paramètres!$A$1:$I$89,3,0)*0.475*44/12</f>
        <v>18.024277650530312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166.96758586802491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12.833333333333334</v>
      </c>
      <c r="BD99" s="13">
        <f>IF('Données projet'!$A$88&gt;35,BD98+BC99-BL98,IF(A99&lt;'Données projet'!$A$88,$BA$205^A99,IF(A99='Données projet'!$A$88,'Données projet'!$B$88,BD98+BC99-BL98)))</f>
        <v>467.49999999999966</v>
      </c>
      <c r="BE99" s="14">
        <f>BD99*VLOOKUP('Données projet'!$B$11,Paramètres!$A$1:$I$89,3,0)*VLOOKUP('Données projet'!$B$11,Paramètres!$A$1:$I$89,5,0)</f>
        <v>224.86749999999986</v>
      </c>
      <c r="BF99" s="14">
        <f t="shared" si="91"/>
        <v>55.17146161661109</v>
      </c>
      <c r="BG99" s="22">
        <f t="shared" si="61"/>
        <v>487.73452481559735</v>
      </c>
      <c r="BH99" s="62">
        <f t="shared" si="62"/>
        <v>781.06785814893067</v>
      </c>
      <c r="BI99" s="62">
        <f ca="1">AVERAGE(OFFSET($BH$3,0,0,'Données projet'!$E$11+1,1))-AVERAGE(OFFSET($H$3,0,0,'Données projet'!$E$11+1,1))</f>
        <v>206.96327004330573</v>
      </c>
      <c r="BJ99" s="62">
        <f t="shared" si="92"/>
        <v>106.52590664430284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28.221476223611671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0.33309653772496844</v>
      </c>
      <c r="BS99" s="24">
        <f t="shared" si="63"/>
        <v>28.55457276133664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6.3550942286383367E-14</v>
      </c>
      <c r="P100" s="14">
        <f t="shared" si="87"/>
        <v>1.0064464192543978E-12</v>
      </c>
      <c r="Q100" s="22">
        <f t="shared" si="107"/>
        <v>1.8635787380168604E-12</v>
      </c>
      <c r="R100" s="62">
        <f t="shared" si="55"/>
        <v>293.33333333333519</v>
      </c>
      <c r="S100" s="62">
        <f ca="1">AVERAGE(OFFSET($R$3,0,0,'Données projet'!$E$9+1,1))-AVERAGE(OFFSET($H$3,0,0,'Données projet'!$E$9+1,1))</f>
        <v>365.70510182727895</v>
      </c>
      <c r="T100" s="62">
        <f t="shared" si="88"/>
        <v>436.23833844962525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130.93328209107199</v>
      </c>
      <c r="AA100" s="23">
        <f>EXP(-LN(2)/25)*AA99+(1-EXP(-LN(2)/25))/(LN(2)/25)*Calculateur!V100*Calculateur!X100*VLOOKUP('Données projet'!$B$9,Paramètres!$A$1:$I$89,3,0)*0.475*44/12</f>
        <v>14.505374747389777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145.43865683846175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295.83974441964551</v>
      </c>
      <c r="AO100" s="62">
        <f t="shared" si="90"/>
        <v>212.24900914818096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146.0226207897972</v>
      </c>
      <c r="AV100" s="23">
        <f>EXP(-LN(2)/25)*AV99+(1-EXP(-LN(2)/25))/(LN(2)/25)*Calculateur!AQ100*Calculateur!AS100*VLOOKUP('Données projet'!$B$10,Paramètres!$A$1:$I$89,3,0)*0.475*44/12</f>
        <v>17.531402830320992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163.55402362011819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12.833333333333334</v>
      </c>
      <c r="BD100" s="13">
        <f>IF('Données projet'!$A$88&gt;35,BD99+BC100-BL99,IF(A100&lt;'Données projet'!$A$88,$BA$205^A100,IF(A100='Données projet'!$A$88,'Données projet'!$B$88,BD99+BC100-BL99)))</f>
        <v>480.33333333333297</v>
      </c>
      <c r="BE100" s="14">
        <f>BD100*VLOOKUP('Données projet'!$B$11,Paramètres!$A$1:$I$89,3,0)*VLOOKUP('Données projet'!$B$11,Paramètres!$A$1:$I$89,5,0)</f>
        <v>231.04033333333314</v>
      </c>
      <c r="BF100" s="14">
        <f t="shared" si="91"/>
        <v>56.507566803729453</v>
      </c>
      <c r="BG100" s="22">
        <f t="shared" si="61"/>
        <v>500.81259273871729</v>
      </c>
      <c r="BH100" s="62">
        <f t="shared" si="62"/>
        <v>794.14592607205054</v>
      </c>
      <c r="BI100" s="62">
        <f ca="1">AVERAGE(OFFSET($BH$3,0,0,'Données projet'!$E$11+1,1))-AVERAGE(OFFSET($H$3,0,0,'Données projet'!$E$11+1,1))</f>
        <v>206.96327004330573</v>
      </c>
      <c r="BJ100" s="62">
        <f t="shared" si="92"/>
        <v>106.52590664430284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27.668070288267462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0.23553482061508585</v>
      </c>
      <c r="BS100" s="24">
        <f t="shared" si="63"/>
        <v>27.903605108882548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6.3550942286383367E-14</v>
      </c>
      <c r="P101" s="14">
        <f t="shared" si="87"/>
        <v>1.0064464192543978E-12</v>
      </c>
      <c r="Q101" s="22">
        <f t="shared" si="107"/>
        <v>1.8635787380168604E-12</v>
      </c>
      <c r="R101" s="62">
        <f t="shared" si="55"/>
        <v>293.33333333333519</v>
      </c>
      <c r="S101" s="62">
        <f ca="1">AVERAGE(OFFSET($R$3,0,0,'Données projet'!$E$9+1,1))-AVERAGE(OFFSET($H$3,0,0,'Données projet'!$E$9+1,1))</f>
        <v>365.70510182727895</v>
      </c>
      <c r="T101" s="62">
        <f t="shared" si="88"/>
        <v>436.23833844962525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128.36576029068249</v>
      </c>
      <c r="AA101" s="23">
        <f>EXP(-LN(2)/25)*AA100+(1-EXP(-LN(2)/25))/(LN(2)/25)*Calculateur!V101*Calculateur!X101*VLOOKUP('Données projet'!$B$9,Paramètres!$A$1:$I$89,3,0)*0.475*44/12</f>
        <v>14.108724512117897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142.47448480280039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295.83974441964551</v>
      </c>
      <c r="AO101" s="62">
        <f t="shared" si="90"/>
        <v>212.24900914818096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143.15920626111352</v>
      </c>
      <c r="AV101" s="23">
        <f>EXP(-LN(2)/25)*AV100+(1-EXP(-LN(2)/25))/(LN(2)/25)*Calculateur!AQ101*Calculateur!AS101*VLOOKUP('Données projet'!$B$10,Paramètres!$A$1:$I$89,3,0)*0.475*44/12</f>
        <v>17.052005697989458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160.21121195910297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12.833333333333334</v>
      </c>
      <c r="BD101" s="13">
        <f>IF('Données projet'!$A$88&gt;35,BD100+BC101-BL100,IF(A101&lt;'Données projet'!$A$88,$BA$205^A101,IF(A101='Données projet'!$A$88,'Données projet'!$B$88,BD100+BC101-BL100)))</f>
        <v>493.16666666666629</v>
      </c>
      <c r="BE101" s="14">
        <f>BD101*VLOOKUP('Données projet'!$B$11,Paramètres!$A$1:$I$89,3,0)*VLOOKUP('Données projet'!$B$11,Paramètres!$A$1:$I$89,5,0)</f>
        <v>237.2131666666665</v>
      </c>
      <c r="BF101" s="14">
        <f t="shared" si="91"/>
        <v>57.839522738519797</v>
      </c>
      <c r="BG101" s="22">
        <f t="shared" si="61"/>
        <v>513.88343404736599</v>
      </c>
      <c r="BH101" s="62">
        <f t="shared" si="62"/>
        <v>807.21676738069937</v>
      </c>
      <c r="BI101" s="62">
        <f ca="1">AVERAGE(OFFSET($BH$3,0,0,'Données projet'!$E$11+1,1))-AVERAGE(OFFSET($H$3,0,0,'Données projet'!$E$11+1,1))</f>
        <v>206.96327004330573</v>
      </c>
      <c r="BJ101" s="62">
        <f t="shared" si="92"/>
        <v>106.52590664430284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27.125516305771061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0.16654826886248425</v>
      </c>
      <c r="BS101" s="24">
        <f t="shared" si="63"/>
        <v>27.292064574633546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6.3550942286383367E-14</v>
      </c>
      <c r="P102" s="14">
        <f t="shared" si="87"/>
        <v>1.0064464192543978E-12</v>
      </c>
      <c r="Q102" s="22">
        <f t="shared" si="107"/>
        <v>1.8635787380168604E-12</v>
      </c>
      <c r="R102" s="62">
        <f t="shared" si="55"/>
        <v>293.33333333333519</v>
      </c>
      <c r="S102" s="62">
        <f ca="1">AVERAGE(OFFSET($R$3,0,0,'Données projet'!$E$9+1,1))-AVERAGE(OFFSET($H$3,0,0,'Données projet'!$E$9+1,1))</f>
        <v>365.70510182727895</v>
      </c>
      <c r="T102" s="62">
        <f t="shared" si="88"/>
        <v>436.23833844962525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125.84858602676495</v>
      </c>
      <c r="AA102" s="23">
        <f>EXP(-LN(2)/25)*AA101+(1-EXP(-LN(2)/25))/(LN(2)/25)*Calculateur!V102*Calculateur!X102*VLOOKUP('Données projet'!$B$9,Paramètres!$A$1:$I$89,3,0)*0.475*44/12</f>
        <v>13.722920698388457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139.5715067251534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295.83974441964551</v>
      </c>
      <c r="AO102" s="62">
        <f t="shared" si="90"/>
        <v>212.24900914818096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140.35194154482693</v>
      </c>
      <c r="AV102" s="23">
        <f>EXP(-LN(2)/25)*AV101+(1-EXP(-LN(2)/25))/(LN(2)/25)*Calculateur!AQ102*Calculateur!AS102*VLOOKUP('Données projet'!$B$10,Paramètres!$A$1:$I$89,3,0)*0.475*44/12</f>
        <v>16.58571770545193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156.93765925027887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>
        <f>VLOOKUP(A102,'Données projet'!$A$87:$I$107,2,0)</f>
        <v>506</v>
      </c>
      <c r="BB102" s="13">
        <f>VLOOKUP(A102,'Données projet'!$A$87:$I$107,9,0)</f>
        <v>12.833333333333334</v>
      </c>
      <c r="BC102" s="13">
        <f t="array" ref="BC102">INDEX(BB:BB,MIN(IF(ISNUMBER(BB102:BB298),ROW(BB102:BB298),"")))</f>
        <v>12.833333333333334</v>
      </c>
      <c r="BD102" s="13">
        <f>IF('Données projet'!$A$88&gt;35,BD101+BC102-BL101,IF(A102&lt;'Données projet'!$A$88,$BA$205^A102,IF(A102='Données projet'!$A$88,'Données projet'!$B$88,BD101+BC102-BL101)))</f>
        <v>505.9999999999996</v>
      </c>
      <c r="BE102" s="14">
        <f>BD102*VLOOKUP('Données projet'!$B$11,Paramètres!$A$1:$I$89,3,0)*VLOOKUP('Données projet'!$B$11,Paramètres!$A$1:$I$89,5,0)</f>
        <v>243.38599999999983</v>
      </c>
      <c r="BF102" s="14">
        <f t="shared" si="91"/>
        <v>59.167449807285593</v>
      </c>
      <c r="BG102" s="22">
        <f t="shared" si="61"/>
        <v>526.94725841435536</v>
      </c>
      <c r="BH102" s="62">
        <f t="shared" si="62"/>
        <v>820.28059174768873</v>
      </c>
      <c r="BI102" s="62">
        <f ca="1">AVERAGE(OFFSET($BH$3,0,0,'Données projet'!$E$11+1,1))-AVERAGE(OFFSET($H$3,0,0,'Données projet'!$E$11+1,1))</f>
        <v>206.96327004330573</v>
      </c>
      <c r="BJ102" s="62">
        <f t="shared" si="92"/>
        <v>106.52590664430284</v>
      </c>
      <c r="BK102" s="16">
        <f>IF(ISNA(VLOOKUP(A102,'Données projet'!$A$87:$I$107,3,0)),0,VLOOKUP(A102,'Données projet'!$A$87:$I$107,3,0))</f>
        <v>5</v>
      </c>
      <c r="BL102" s="16">
        <f>IF(ISNA(VLOOKUP(A102,'Données projet'!$A$87:$I$107,4,0)),0,VLOOKUP(A102,'Données projet'!$A$87:$I$107,4,0))</f>
        <v>506</v>
      </c>
      <c r="BM102" s="17">
        <f>IF(ISNA(VLOOKUP(A102,'Données projet'!$A$87:$I$107,5,0)),0%,VLOOKUP(A102,'Données projet'!$A$87:$I$107,5,0)*VLOOKUP('Données projet'!$B$11,Paramètres!$A$1:$I$89,7,0))</f>
        <v>0.49500000000000005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0.1</v>
      </c>
      <c r="BP102" s="23">
        <f>EXP(-LN(2)/35)*BP101+(1-EXP(-LN(2)/35))/(LN(2)/35)*BL102*BM102*VLOOKUP('Données projet'!$B$11,Paramètres!$A$1:$I$89,3,0)*0.475*44/12</f>
        <v>186.41287366899212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27.674716406885185</v>
      </c>
      <c r="BS102" s="24">
        <f t="shared" si="63"/>
        <v>214.0875900758773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6.3550942286383367E-14</v>
      </c>
      <c r="P103" s="14">
        <f t="shared" si="87"/>
        <v>1.0064464192543978E-12</v>
      </c>
      <c r="Q103" s="22">
        <f t="shared" si="107"/>
        <v>1.8635787380168604E-12</v>
      </c>
      <c r="R103" s="62">
        <f t="shared" si="55"/>
        <v>293.33333333333519</v>
      </c>
      <c r="S103" s="62">
        <f ca="1">AVERAGE(OFFSET($R$3,0,0,'Données projet'!$E$9+1,1))-AVERAGE(OFFSET($H$3,0,0,'Données projet'!$E$9+1,1))</f>
        <v>365.70510182727895</v>
      </c>
      <c r="T103" s="62">
        <f t="shared" si="88"/>
        <v>436.23833844962525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123.38077201483814</v>
      </c>
      <c r="AA103" s="23">
        <f>EXP(-LN(2)/25)*AA102+(1-EXP(-LN(2)/25))/(LN(2)/25)*Calculateur!V103*Calculateur!X103*VLOOKUP('Données projet'!$B$9,Paramètres!$A$1:$I$89,3,0)*0.475*44/12</f>
        <v>13.347666710233989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136.72843872507212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295.83974441964551</v>
      </c>
      <c r="AO103" s="62">
        <f t="shared" si="90"/>
        <v>212.24900914818096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137.5997255773643</v>
      </c>
      <c r="AV103" s="23">
        <f>EXP(-LN(2)/25)*AV102+(1-EXP(-LN(2)/25))/(LN(2)/25)*Calculateur!AQ103*Calculateur!AS103*VLOOKUP('Données projet'!$B$10,Paramètres!$A$1:$I$89,3,0)*0.475*44/12</f>
        <v>16.132180382591361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153.73190595995567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-3.979039320256561E-13</v>
      </c>
      <c r="BE103" s="14">
        <f>BD103*VLOOKUP('Données projet'!$B$11,Paramètres!$A$1:$I$89,3,0)*VLOOKUP('Données projet'!$B$11,Paramètres!$A$1:$I$89,5,0)</f>
        <v>-1.9139179130434059E-13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206.96327004330573</v>
      </c>
      <c r="BJ103" s="62">
        <f t="shared" si="92"/>
        <v>106.52590664430284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182.75743091696913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19.568979638723121</v>
      </c>
      <c r="BS103" s="24">
        <f t="shared" si="63"/>
        <v>202.32641055569223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6.3550942286383367E-14</v>
      </c>
      <c r="P104" s="14">
        <f t="shared" si="87"/>
        <v>1.0064464192543978E-12</v>
      </c>
      <c r="Q104" s="22">
        <f t="shared" si="107"/>
        <v>1.8635787380168604E-12</v>
      </c>
      <c r="R104" s="62">
        <f t="shared" si="55"/>
        <v>293.33333333333519</v>
      </c>
      <c r="S104" s="62">
        <f ca="1">AVERAGE(OFFSET($R$3,0,0,'Données projet'!$E$9+1,1))-AVERAGE(OFFSET($H$3,0,0,'Données projet'!$E$9+1,1))</f>
        <v>365.70510182727895</v>
      </c>
      <c r="T104" s="62">
        <f t="shared" si="88"/>
        <v>436.23833844962525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120.9613503304673</v>
      </c>
      <c r="AA104" s="23">
        <f>EXP(-LN(2)/25)*AA103+(1-EXP(-LN(2)/25))/(LN(2)/25)*Calculateur!V104*Calculateur!X104*VLOOKUP('Données projet'!$B$9,Paramètres!$A$1:$I$89,3,0)*0.475*44/12</f>
        <v>12.982674062119354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133.94402439258664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295.83974441964551</v>
      </c>
      <c r="AO104" s="62">
        <f t="shared" si="90"/>
        <v>212.24900914818096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134.90147888633763</v>
      </c>
      <c r="AV104" s="23">
        <f>EXP(-LN(2)/25)*AV103+(1-EXP(-LN(2)/25))/(LN(2)/25)*Calculateur!AQ104*Calculateur!AS104*VLOOKUP('Données projet'!$B$10,Paramètres!$A$1:$I$89,3,0)*0.475*44/12</f>
        <v>15.691045061674904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150.59252394801254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-3.979039320256561E-13</v>
      </c>
      <c r="BE104" s="14">
        <f>BD104*VLOOKUP('Données projet'!$B$11,Paramètres!$A$1:$I$89,3,0)*VLOOKUP('Données projet'!$B$11,Paramètres!$A$1:$I$89,5,0)</f>
        <v>-1.9139179130434059E-13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206.96327004330573</v>
      </c>
      <c r="BJ104" s="62">
        <f t="shared" si="92"/>
        <v>106.52590664430284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179.17366916771337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13.837358203442594</v>
      </c>
      <c r="BS104" s="24">
        <f t="shared" si="63"/>
        <v>193.01102737115596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6.3550942286383367E-14</v>
      </c>
      <c r="P105" s="14">
        <f t="shared" si="87"/>
        <v>1.0064464192543978E-12</v>
      </c>
      <c r="Q105" s="22">
        <f t="shared" si="107"/>
        <v>1.8635787380168604E-12</v>
      </c>
      <c r="R105" s="62">
        <f t="shared" si="55"/>
        <v>293.33333333333519</v>
      </c>
      <c r="S105" s="62">
        <f ca="1">AVERAGE(OFFSET($R$3,0,0,'Données projet'!$E$9+1,1))-AVERAGE(OFFSET($H$3,0,0,'Données projet'!$E$9+1,1))</f>
        <v>365.70510182727895</v>
      </c>
      <c r="T105" s="62">
        <f t="shared" si="88"/>
        <v>436.23833844962525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118.58937202962545</v>
      </c>
      <c r="AA105" s="23">
        <f>EXP(-LN(2)/25)*AA104+(1-EXP(-LN(2)/25))/(LN(2)/25)*Calculateur!V105*Calculateur!X105*VLOOKUP('Données projet'!$B$9,Paramètres!$A$1:$I$89,3,0)*0.475*44/12</f>
        <v>12.627662157161543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131.217034186787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295.83974441964551</v>
      </c>
      <c r="AO105" s="62">
        <f t="shared" si="90"/>
        <v>212.24900914818096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132.25614316715402</v>
      </c>
      <c r="AV105" s="23">
        <f>EXP(-LN(2)/25)*AV104+(1-EXP(-LN(2)/25))/(LN(2)/25)*Calculateur!AQ105*Calculateur!AS105*VLOOKUP('Données projet'!$B$10,Paramètres!$A$1:$I$89,3,0)*0.475*44/12</f>
        <v>15.261972609307206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147.51811577646123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-3.979039320256561E-13</v>
      </c>
      <c r="BE105" s="14">
        <f>BD105*VLOOKUP('Données projet'!$B$11,Paramètres!$A$1:$I$89,3,0)*VLOOKUP('Données projet'!$B$11,Paramètres!$A$1:$I$89,5,0)</f>
        <v>-1.9139179130434059E-13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206.96327004330573</v>
      </c>
      <c r="BJ105" s="62">
        <f t="shared" si="92"/>
        <v>106.52590664430284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175.66018280048169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9.7844898193615624</v>
      </c>
      <c r="BS105" s="24">
        <f t="shared" si="63"/>
        <v>185.44467261984326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6.3550942286383367E-14</v>
      </c>
      <c r="P106" s="14">
        <f t="shared" si="87"/>
        <v>1.0064464192543978E-12</v>
      </c>
      <c r="Q106" s="22">
        <f t="shared" si="107"/>
        <v>1.8635787380168604E-12</v>
      </c>
      <c r="R106" s="62">
        <f t="shared" si="55"/>
        <v>293.33333333333519</v>
      </c>
      <c r="S106" s="62">
        <f ca="1">AVERAGE(OFFSET($R$3,0,0,'Données projet'!$E$9+1,1))-AVERAGE(OFFSET($H$3,0,0,'Données projet'!$E$9+1,1))</f>
        <v>365.70510182727895</v>
      </c>
      <c r="T106" s="62">
        <f t="shared" si="88"/>
        <v>436.23833844962525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116.26390677649921</v>
      </c>
      <c r="AA106" s="23">
        <f>EXP(-LN(2)/25)*AA105+(1-EXP(-LN(2)/25))/(LN(2)/25)*Calculateur!V106*Calculateur!X106*VLOOKUP('Données projet'!$B$9,Paramètres!$A$1:$I$89,3,0)*0.475*44/12</f>
        <v>12.28235807141407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128.54626484791328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295.83974441964551</v>
      </c>
      <c r="AO106" s="62">
        <f t="shared" si="90"/>
        <v>212.24900914818096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129.66268086792815</v>
      </c>
      <c r="AV106" s="23">
        <f>EXP(-LN(2)/25)*AV105+(1-EXP(-LN(2)/25))/(LN(2)/25)*Calculateur!AQ106*Calculateur!AS106*VLOOKUP('Données projet'!$B$10,Paramètres!$A$1:$I$89,3,0)*0.475*44/12</f>
        <v>14.844633165713443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144.50731403364159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-3.979039320256561E-13</v>
      </c>
      <c r="BE106" s="14">
        <f>BD106*VLOOKUP('Données projet'!$B$11,Paramètres!$A$1:$I$89,3,0)*VLOOKUP('Données projet'!$B$11,Paramètres!$A$1:$I$89,5,0)</f>
        <v>-1.9139179130434059E-13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206.96327004330573</v>
      </c>
      <c r="BJ106" s="62">
        <f t="shared" si="92"/>
        <v>106.52590664430284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172.21559375789636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6.918679101721299</v>
      </c>
      <c r="BS106" s="24">
        <f t="shared" si="63"/>
        <v>179.13427285961765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6.3550942286383367E-14</v>
      </c>
      <c r="P107" s="14">
        <f t="shared" si="87"/>
        <v>1.0064464192543978E-12</v>
      </c>
      <c r="Q107" s="22">
        <f t="shared" si="107"/>
        <v>1.8635787380168604E-12</v>
      </c>
      <c r="R107" s="62">
        <f t="shared" si="55"/>
        <v>293.33333333333519</v>
      </c>
      <c r="S107" s="62">
        <f ca="1">AVERAGE(OFFSET($R$3,0,0,'Données projet'!$E$9+1,1))-AVERAGE(OFFSET($H$3,0,0,'Données projet'!$E$9+1,1))</f>
        <v>365.70510182727895</v>
      </c>
      <c r="T107" s="62">
        <f t="shared" si="88"/>
        <v>436.23833844962525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113.98404247859303</v>
      </c>
      <c r="AA107" s="23">
        <f>EXP(-LN(2)/25)*AA106+(1-EXP(-LN(2)/25))/(LN(2)/25)*Calculateur!V107*Calculateur!X107*VLOOKUP('Données projet'!$B$9,Paramètres!$A$1:$I$89,3,0)*0.475*44/12</f>
        <v>11.946496344050113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125.93053882264314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295.83974441964551</v>
      </c>
      <c r="AO107" s="62">
        <f t="shared" si="90"/>
        <v>212.24900914818096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127.12007478253427</v>
      </c>
      <c r="AV107" s="23">
        <f>EXP(-LN(2)/25)*AV106+(1-EXP(-LN(2)/25))/(LN(2)/25)*Calculateur!AQ107*Calculateur!AS107*VLOOKUP('Données projet'!$B$10,Paramètres!$A$1:$I$89,3,0)*0.475*44/12</f>
        <v>14.438705891151679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141.55878067368596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-3.979039320256561E-13</v>
      </c>
      <c r="BE107" s="14">
        <f>BD107*VLOOKUP('Données projet'!$B$11,Paramètres!$A$1:$I$89,3,0)*VLOOKUP('Données projet'!$B$11,Paramètres!$A$1:$I$89,5,0)</f>
        <v>-1.9139179130434059E-13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206.96327004330573</v>
      </c>
      <c r="BJ107" s="62">
        <f t="shared" si="92"/>
        <v>106.52590664430284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168.83855100544426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4.8922449096807821</v>
      </c>
      <c r="BS107" s="24">
        <f t="shared" si="63"/>
        <v>173.73079591512504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6.3550942286383367E-14</v>
      </c>
      <c r="P108" s="14">
        <f t="shared" si="87"/>
        <v>1.0064464192543978E-12</v>
      </c>
      <c r="Q108" s="22">
        <f t="shared" si="107"/>
        <v>1.8635787380168604E-12</v>
      </c>
      <c r="R108" s="62">
        <f t="shared" si="55"/>
        <v>293.33333333333519</v>
      </c>
      <c r="S108" s="62">
        <f ca="1">AVERAGE(OFFSET($R$3,0,0,'Données projet'!$E$9+1,1))-AVERAGE(OFFSET($H$3,0,0,'Données projet'!$E$9+1,1))</f>
        <v>365.70510182727895</v>
      </c>
      <c r="T108" s="62">
        <f t="shared" si="88"/>
        <v>436.23833844962525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111.74888492898886</v>
      </c>
      <c r="AA108" s="23">
        <f>EXP(-LN(2)/25)*AA107+(1-EXP(-LN(2)/25))/(LN(2)/25)*Calculateur!V108*Calculateur!X108*VLOOKUP('Données projet'!$B$9,Paramètres!$A$1:$I$89,3,0)*0.475*44/12</f>
        <v>11.619818773283123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123.36870370227199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295.83974441964551</v>
      </c>
      <c r="AO108" s="62">
        <f t="shared" si="90"/>
        <v>212.24900914818096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124.6273276516384</v>
      </c>
      <c r="AV108" s="23">
        <f>EXP(-LN(2)/25)*AV107+(1-EXP(-LN(2)/25))/(LN(2)/25)*Calculateur!AQ108*Calculateur!AS108*VLOOKUP('Données projet'!$B$10,Paramètres!$A$1:$I$89,3,0)*0.475*44/12</f>
        <v>14.043878719259594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138.67120637089798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-3.979039320256561E-13</v>
      </c>
      <c r="BE108" s="14">
        <f>BD108*VLOOKUP('Données projet'!$B$11,Paramètres!$A$1:$I$89,3,0)*VLOOKUP('Données projet'!$B$11,Paramètres!$A$1:$I$89,5,0)</f>
        <v>-1.9139179130434059E-13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206.96327004330573</v>
      </c>
      <c r="BJ108" s="62">
        <f t="shared" si="92"/>
        <v>106.52590664430284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165.52773000157504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3.4593395508606499</v>
      </c>
      <c r="BS108" s="24">
        <f t="shared" si="63"/>
        <v>168.98706955243568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6.3550942286383367E-14</v>
      </c>
      <c r="P109" s="14">
        <f t="shared" si="87"/>
        <v>1.0064464192543978E-12</v>
      </c>
      <c r="Q109" s="22">
        <f t="shared" si="107"/>
        <v>1.8635787380168604E-12</v>
      </c>
      <c r="R109" s="62">
        <f t="shared" si="55"/>
        <v>293.33333333333519</v>
      </c>
      <c r="S109" s="62">
        <f ca="1">AVERAGE(OFFSET($R$3,0,0,'Données projet'!$E$9+1,1))-AVERAGE(OFFSET($H$3,0,0,'Données projet'!$E$9+1,1))</f>
        <v>365.70510182727895</v>
      </c>
      <c r="T109" s="62">
        <f t="shared" si="88"/>
        <v>436.23833844962525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109.55755745562094</v>
      </c>
      <c r="AA109" s="23">
        <f>EXP(-LN(2)/25)*AA108+(1-EXP(-LN(2)/25))/(LN(2)/25)*Calculateur!V109*Calculateur!X109*VLOOKUP('Données projet'!$B$9,Paramètres!$A$1:$I$89,3,0)*0.475*44/12</f>
        <v>11.302074217867984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120.85963167348892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295.83974441964551</v>
      </c>
      <c r="AO109" s="62">
        <f t="shared" si="90"/>
        <v>212.24900914818096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122.18346177155377</v>
      </c>
      <c r="AV109" s="23">
        <f>EXP(-LN(2)/25)*AV108+(1-EXP(-LN(2)/25))/(LN(2)/25)*Calculateur!AQ109*Calculateur!AS109*VLOOKUP('Données projet'!$B$10,Paramètres!$A$1:$I$89,3,0)*0.475*44/12</f>
        <v>13.659848117145955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135.84330988869971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-3.979039320256561E-13</v>
      </c>
      <c r="BE109" s="14">
        <f>BD109*VLOOKUP('Données projet'!$B$11,Paramètres!$A$1:$I$89,3,0)*VLOOKUP('Données projet'!$B$11,Paramètres!$A$1:$I$89,5,0)</f>
        <v>-1.9139179130434059E-13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206.96327004330573</v>
      </c>
      <c r="BJ109" s="62">
        <f t="shared" si="92"/>
        <v>106.52590664430284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162.28183217819029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2.4461224548403915</v>
      </c>
      <c r="BS109" s="24">
        <f t="shared" si="63"/>
        <v>164.72795463303066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6.3550942286383367E-14</v>
      </c>
      <c r="P110" s="14">
        <f t="shared" si="87"/>
        <v>1.0064464192543978E-12</v>
      </c>
      <c r="Q110" s="22">
        <f t="shared" si="107"/>
        <v>1.8635787380168604E-12</v>
      </c>
      <c r="R110" s="62">
        <f t="shared" si="55"/>
        <v>293.33333333333519</v>
      </c>
      <c r="S110" s="62">
        <f ca="1">AVERAGE(OFFSET($R$3,0,0,'Données projet'!$E$9+1,1))-AVERAGE(OFFSET($H$3,0,0,'Données projet'!$E$9+1,1))</f>
        <v>365.70510182727895</v>
      </c>
      <c r="T110" s="62">
        <f t="shared" si="88"/>
        <v>436.23833844962525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107.40920057742798</v>
      </c>
      <c r="AA110" s="23">
        <f>EXP(-LN(2)/25)*AA109+(1-EXP(-LN(2)/25))/(LN(2)/25)*Calculateur!V110*Calculateur!X110*VLOOKUP('Données projet'!$B$9,Paramètres!$A$1:$I$89,3,0)*0.475*44/12</f>
        <v>10.993018404030133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118.40221898145812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295.83974441964551</v>
      </c>
      <c r="AO110" s="62">
        <f t="shared" si="90"/>
        <v>212.24900914818096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119.78751861076658</v>
      </c>
      <c r="AV110" s="23">
        <f>EXP(-LN(2)/25)*AV109+(1-EXP(-LN(2)/25))/(LN(2)/25)*Calculateur!AQ110*Calculateur!AS110*VLOOKUP('Données projet'!$B$10,Paramètres!$A$1:$I$89,3,0)*0.475*44/12</f>
        <v>13.286318852042406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133.073837462809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-3.979039320256561E-13</v>
      </c>
      <c r="BE110" s="14">
        <f>BD110*VLOOKUP('Données projet'!$B$11,Paramètres!$A$1:$I$89,3,0)*VLOOKUP('Données projet'!$B$11,Paramètres!$A$1:$I$89,5,0)</f>
        <v>-1.9139179130434059E-13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206.96327004330573</v>
      </c>
      <c r="BJ110" s="62">
        <f t="shared" si="92"/>
        <v>106.52590664430284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159.09958443131993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1.7296697754303252</v>
      </c>
      <c r="BS110" s="24">
        <f t="shared" si="63"/>
        <v>160.82925420675025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6.3550942286383367E-14</v>
      </c>
      <c r="P111" s="14">
        <f t="shared" si="87"/>
        <v>1.0064464192543978E-12</v>
      </c>
      <c r="Q111" s="22">
        <f t="shared" si="107"/>
        <v>1.8635787380168604E-12</v>
      </c>
      <c r="R111" s="62">
        <f t="shared" si="55"/>
        <v>293.33333333333519</v>
      </c>
      <c r="S111" s="62">
        <f ca="1">AVERAGE(OFFSET($R$3,0,0,'Données projet'!$E$9+1,1))-AVERAGE(OFFSET($H$3,0,0,'Données projet'!$E$9+1,1))</f>
        <v>365.70510182727895</v>
      </c>
      <c r="T111" s="62">
        <f t="shared" si="88"/>
        <v>436.23833844962525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105.30297166724809</v>
      </c>
      <c r="AA111" s="23">
        <f>EXP(-LN(2)/25)*AA110+(1-EXP(-LN(2)/25))/(LN(2)/25)*Calculateur!V111*Calculateur!X111*VLOOKUP('Données projet'!$B$9,Paramètres!$A$1:$I$89,3,0)*0.475*44/12</f>
        <v>10.692413737674217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115.9953854049223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295.83974441964551</v>
      </c>
      <c r="AO111" s="62">
        <f t="shared" si="90"/>
        <v>212.24900914818096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117.43855843398141</v>
      </c>
      <c r="AV111" s="23">
        <f>EXP(-LN(2)/25)*AV110+(1-EXP(-LN(2)/25))/(LN(2)/25)*Calculateur!AQ111*Calculateur!AS111*VLOOKUP('Données projet'!$B$10,Paramètres!$A$1:$I$89,3,0)*0.475*44/12</f>
        <v>12.923003764336164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130.36156219831759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-3.979039320256561E-13</v>
      </c>
      <c r="BE111" s="14">
        <f>BD111*VLOOKUP('Données projet'!$B$11,Paramètres!$A$1:$I$89,3,0)*VLOOKUP('Données projet'!$B$11,Paramètres!$A$1:$I$89,5,0)</f>
        <v>-1.9139179130434059E-13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206.96327004330573</v>
      </c>
      <c r="BJ111" s="62">
        <f t="shared" si="92"/>
        <v>106.52590664430284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155.97973862178623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1.2230612274201957</v>
      </c>
      <c r="BS111" s="24">
        <f t="shared" si="63"/>
        <v>157.20279984920643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6.3550942286383367E-14</v>
      </c>
      <c r="P112" s="14">
        <f t="shared" si="87"/>
        <v>1.0064464192543978E-12</v>
      </c>
      <c r="Q112" s="22">
        <f t="shared" si="107"/>
        <v>1.8635787380168604E-12</v>
      </c>
      <c r="R112" s="62">
        <f t="shared" si="55"/>
        <v>293.33333333333519</v>
      </c>
      <c r="S112" s="62">
        <f ca="1">AVERAGE(OFFSET($R$3,0,0,'Données projet'!$E$9+1,1))-AVERAGE(OFFSET($H$3,0,0,'Données projet'!$E$9+1,1))</f>
        <v>365.70510182727895</v>
      </c>
      <c r="T112" s="62">
        <f t="shared" si="88"/>
        <v>436.23833844962525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103.23804462132404</v>
      </c>
      <c r="AA112" s="23">
        <f>EXP(-LN(2)/25)*AA111+(1-EXP(-LN(2)/25))/(LN(2)/25)*Calculateur!V112*Calculateur!X112*VLOOKUP('Données projet'!$B$9,Paramètres!$A$1:$I$89,3,0)*0.475*44/12</f>
        <v>10.400029121727915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113.63807374305195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295.83974441964551</v>
      </c>
      <c r="AO112" s="62">
        <f t="shared" si="90"/>
        <v>212.24900914818096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115.13565993353876</v>
      </c>
      <c r="AV112" s="23">
        <f>EXP(-LN(2)/25)*AV111+(1-EXP(-LN(2)/25))/(LN(2)/25)*Calculateur!AQ112*Calculateur!AS112*VLOOKUP('Données projet'!$B$10,Paramètres!$A$1:$I$89,3,0)*0.475*44/12</f>
        <v>12.56962354680916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127.70528348034792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-3.979039320256561E-13</v>
      </c>
      <c r="BE112" s="14">
        <f>BD112*VLOOKUP('Données projet'!$B$11,Paramètres!$A$1:$I$89,3,0)*VLOOKUP('Données projet'!$B$11,Paramètres!$A$1:$I$89,5,0)</f>
        <v>-1.9139179130434059E-13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206.96327004330573</v>
      </c>
      <c r="BJ112" s="62">
        <f t="shared" si="92"/>
        <v>106.52590664430284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152.92107108565943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0.86483488771516259</v>
      </c>
      <c r="BS112" s="24">
        <f t="shared" si="63"/>
        <v>153.78590597337461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6.3550942286383367E-14</v>
      </c>
      <c r="P113" s="14">
        <f t="shared" si="87"/>
        <v>1.0064464192543978E-12</v>
      </c>
      <c r="Q113" s="22">
        <f t="shared" si="107"/>
        <v>1.8635787380168604E-12</v>
      </c>
      <c r="R113" s="62">
        <f t="shared" si="55"/>
        <v>293.33333333333519</v>
      </c>
      <c r="S113" s="62">
        <f ca="1">AVERAGE(OFFSET($R$3,0,0,'Données projet'!$E$9+1,1))-AVERAGE(OFFSET($H$3,0,0,'Données projet'!$E$9+1,1))</f>
        <v>365.70510182727895</v>
      </c>
      <c r="T113" s="62">
        <f t="shared" si="88"/>
        <v>436.23833844962525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101.21360953528942</v>
      </c>
      <c r="AA113" s="23">
        <f>EXP(-LN(2)/25)*AA112+(1-EXP(-LN(2)/25))/(LN(2)/25)*Calculateur!V113*Calculateur!X113*VLOOKUP('Données projet'!$B$9,Paramètres!$A$1:$I$89,3,0)*0.475*44/12</f>
        <v>10.115639778480503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111.32924931376992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295.83974441964551</v>
      </c>
      <c r="AO113" s="62">
        <f t="shared" si="90"/>
        <v>212.24900914818096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112.8779198680604</v>
      </c>
      <c r="AV113" s="23">
        <f>EXP(-LN(2)/25)*AV112+(1-EXP(-LN(2)/25))/(LN(2)/25)*Calculateur!AQ113*Calculateur!AS113*VLOOKUP('Données projet'!$B$10,Paramètres!$A$1:$I$89,3,0)*0.475*44/12</f>
        <v>12.225906529913889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125.10382639797429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-3.979039320256561E-13</v>
      </c>
      <c r="BE113" s="14">
        <f>BD113*VLOOKUP('Données projet'!$B$11,Paramètres!$A$1:$I$89,3,0)*VLOOKUP('Données projet'!$B$11,Paramètres!$A$1:$I$89,5,0)</f>
        <v>-1.9139179130434059E-13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206.96327004330573</v>
      </c>
      <c r="BJ113" s="62">
        <f t="shared" si="92"/>
        <v>106.52590664430284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149.92238215431311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0.61153061371009787</v>
      </c>
      <c r="BS113" s="24">
        <f t="shared" si="63"/>
        <v>150.53391276802321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6.3550942286383367E-14</v>
      </c>
      <c r="P114" s="14">
        <f t="shared" si="87"/>
        <v>1.0064464192543978E-12</v>
      </c>
      <c r="Q114" s="22">
        <f t="shared" si="107"/>
        <v>1.8635787380168604E-12</v>
      </c>
      <c r="R114" s="62">
        <f t="shared" si="55"/>
        <v>293.33333333333519</v>
      </c>
      <c r="S114" s="62">
        <f ca="1">AVERAGE(OFFSET($R$3,0,0,'Données projet'!$E$9+1,1))-AVERAGE(OFFSET($H$3,0,0,'Données projet'!$E$9+1,1))</f>
        <v>365.70510182727895</v>
      </c>
      <c r="T114" s="62">
        <f t="shared" si="88"/>
        <v>436.23833844962525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99.228872386508471</v>
      </c>
      <c r="AA114" s="23">
        <f>EXP(-LN(2)/25)*AA113+(1-EXP(-LN(2)/25))/(LN(2)/25)*Calculateur!V114*Calculateur!X114*VLOOKUP('Données projet'!$B$9,Paramètres!$A$1:$I$89,3,0)*0.475*44/12</f>
        <v>9.839027076779578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109.06789946328804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295.83974441964551</v>
      </c>
      <c r="AO114" s="62">
        <f t="shared" si="90"/>
        <v>212.24900914818096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110.6644527081806</v>
      </c>
      <c r="AV114" s="23">
        <f>EXP(-LN(2)/25)*AV113+(1-EXP(-LN(2)/25))/(LN(2)/25)*Calculateur!AQ114*Calculateur!AS114*VLOOKUP('Données projet'!$B$10,Paramètres!$A$1:$I$89,3,0)*0.475*44/12</f>
        <v>11.891588472920912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122.55604118110152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-3.979039320256561E-13</v>
      </c>
      <c r="BE114" s="14">
        <f>BD114*VLOOKUP('Données projet'!$B$11,Paramètres!$A$1:$I$89,3,0)*VLOOKUP('Données projet'!$B$11,Paramètres!$A$1:$I$89,5,0)</f>
        <v>-1.9139179130434059E-13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206.96327004330573</v>
      </c>
      <c r="BJ114" s="62">
        <f t="shared" si="92"/>
        <v>106.52590664430284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146.98249568389085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0.4324174438575813</v>
      </c>
      <c r="BS114" s="24">
        <f t="shared" si="63"/>
        <v>147.41491312774843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6.3550942286383367E-14</v>
      </c>
      <c r="P115" s="14">
        <f t="shared" si="87"/>
        <v>1.0064464192543978E-12</v>
      </c>
      <c r="Q115" s="22">
        <f t="shared" si="107"/>
        <v>1.8635787380168604E-12</v>
      </c>
      <c r="R115" s="62">
        <f t="shared" si="55"/>
        <v>293.33333333333519</v>
      </c>
      <c r="S115" s="62">
        <f ca="1">AVERAGE(OFFSET($R$3,0,0,'Données projet'!$E$9+1,1))-AVERAGE(OFFSET($H$3,0,0,'Données projet'!$E$9+1,1))</f>
        <v>365.70510182727895</v>
      </c>
      <c r="T115" s="62">
        <f t="shared" si="88"/>
        <v>436.23833844962525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97.283054722644977</v>
      </c>
      <c r="AA115" s="23">
        <f>EXP(-LN(2)/25)*AA114+(1-EXP(-LN(2)/25))/(LN(2)/25)*Calculateur!V115*Calculateur!X115*VLOOKUP('Données projet'!$B$9,Paramètres!$A$1:$I$89,3,0)*0.475*44/12</f>
        <v>9.5699783639530942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106.85303308659807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295.83974441964551</v>
      </c>
      <c r="AO115" s="62">
        <f t="shared" si="90"/>
        <v>212.24900914818096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108.4943902892244</v>
      </c>
      <c r="AV115" s="23">
        <f>EXP(-LN(2)/25)*AV114+(1-EXP(-LN(2)/25))/(LN(2)/25)*Calculateur!AQ115*Calculateur!AS115*VLOOKUP('Données projet'!$B$10,Paramètres!$A$1:$I$89,3,0)*0.475*44/12</f>
        <v>11.566412360777431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120.06080265000183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-3.979039320256561E-13</v>
      </c>
      <c r="BE115" s="14">
        <f>BD115*VLOOKUP('Données projet'!$B$11,Paramètres!$A$1:$I$89,3,0)*VLOOKUP('Données projet'!$B$11,Paramètres!$A$1:$I$89,5,0)</f>
        <v>-1.9139179130434059E-13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206.96327004330573</v>
      </c>
      <c r="BJ115" s="62">
        <f t="shared" si="92"/>
        <v>106.52590664430284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144.10025859399985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0.30576530685504894</v>
      </c>
      <c r="BS115" s="24">
        <f t="shared" si="63"/>
        <v>144.4060239008549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6.3550942286383367E-14</v>
      </c>
      <c r="P116" s="14">
        <f t="shared" si="87"/>
        <v>1.0064464192543978E-12</v>
      </c>
      <c r="Q116" s="22">
        <f t="shared" si="107"/>
        <v>1.8635787380168604E-12</v>
      </c>
      <c r="R116" s="62">
        <f t="shared" si="55"/>
        <v>293.33333333333519</v>
      </c>
      <c r="S116" s="62">
        <f ca="1">AVERAGE(OFFSET($R$3,0,0,'Données projet'!$E$9+1,1))-AVERAGE(OFFSET($H$3,0,0,'Données projet'!$E$9+1,1))</f>
        <v>365.70510182727895</v>
      </c>
      <c r="T116" s="62">
        <f t="shared" si="88"/>
        <v>436.23833844962525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95.375393356338265</v>
      </c>
      <c r="AA116" s="23">
        <f>EXP(-LN(2)/25)*AA115+(1-EXP(-LN(2)/25))/(LN(2)/25)*Calculateur!V116*Calculateur!X116*VLOOKUP('Données projet'!$B$9,Paramètres!$A$1:$I$89,3,0)*0.475*44/12</f>
        <v>9.3082868023275065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104.68368015866577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295.83974441964551</v>
      </c>
      <c r="AO116" s="62">
        <f t="shared" si="90"/>
        <v>212.24900914818096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106.36688147069654</v>
      </c>
      <c r="AV116" s="23">
        <f>EXP(-LN(2)/25)*AV115+(1-EXP(-LN(2)/25))/(LN(2)/25)*Calculateur!AQ116*Calculateur!AS116*VLOOKUP('Données projet'!$B$10,Paramètres!$A$1:$I$89,3,0)*0.475*44/12</f>
        <v>11.250128206520781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117.61700967721733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-3.979039320256561E-13</v>
      </c>
      <c r="BE116" s="14">
        <f>BD116*VLOOKUP('Données projet'!$B$11,Paramètres!$A$1:$I$89,3,0)*VLOOKUP('Données projet'!$B$11,Paramètres!$A$1:$I$89,5,0)</f>
        <v>-1.9139179130434059E-13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206.96327004330573</v>
      </c>
      <c r="BJ116" s="62">
        <f t="shared" si="92"/>
        <v>106.52590664430284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141.27454041545059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0.21620872192879065</v>
      </c>
      <c r="BS116" s="24">
        <f t="shared" si="63"/>
        <v>141.49074913737937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6.3550942286383367E-14</v>
      </c>
      <c r="P117" s="14">
        <f t="shared" si="87"/>
        <v>1.0064464192543978E-12</v>
      </c>
      <c r="Q117" s="22">
        <f t="shared" si="107"/>
        <v>1.8635787380168604E-12</v>
      </c>
      <c r="R117" s="62">
        <f t="shared" si="55"/>
        <v>293.33333333333519</v>
      </c>
      <c r="S117" s="62">
        <f ca="1">AVERAGE(OFFSET($R$3,0,0,'Données projet'!$E$9+1,1))-AVERAGE(OFFSET($H$3,0,0,'Données projet'!$E$9+1,1))</f>
        <v>365.70510182727895</v>
      </c>
      <c r="T117" s="62">
        <f t="shared" si="88"/>
        <v>436.23833844962525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93.505140065866286</v>
      </c>
      <c r="AA117" s="23">
        <f>EXP(-LN(2)/25)*AA116+(1-EXP(-LN(2)/25))/(LN(2)/25)*Calculateur!V117*Calculateur!X117*VLOOKUP('Données projet'!$B$9,Paramètres!$A$1:$I$89,3,0)*0.475*44/12</f>
        <v>9.0537512102163316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102.55889127608262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295.83974441964551</v>
      </c>
      <c r="AO117" s="62">
        <f t="shared" si="90"/>
        <v>212.24900914818096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104.28109180244776</v>
      </c>
      <c r="AV117" s="23">
        <f>EXP(-LN(2)/25)*AV116+(1-EXP(-LN(2)/25))/(LN(2)/25)*Calculateur!AQ117*Calculateur!AS117*VLOOKUP('Données projet'!$B$10,Paramètres!$A$1:$I$89,3,0)*0.475*44/12</f>
        <v>10.942492859094941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115.2235846615427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-3.979039320256561E-13</v>
      </c>
      <c r="BE117" s="14">
        <f>BD117*VLOOKUP('Données projet'!$B$11,Paramètres!$A$1:$I$89,3,0)*VLOOKUP('Données projet'!$B$11,Paramètres!$A$1:$I$89,5,0)</f>
        <v>-1.9139179130434059E-13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206.96327004330573</v>
      </c>
      <c r="BJ117" s="62">
        <f t="shared" si="92"/>
        <v>106.52590664430284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138.50423284686477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0.15288265342752447</v>
      </c>
      <c r="BS117" s="24">
        <f t="shared" si="63"/>
        <v>138.65711550029229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6.3550942286383367E-14</v>
      </c>
      <c r="P118" s="14">
        <f t="shared" si="87"/>
        <v>1.0064464192543978E-12</v>
      </c>
      <c r="Q118" s="22">
        <f t="shared" si="107"/>
        <v>1.8635787380168604E-12</v>
      </c>
      <c r="R118" s="62">
        <f t="shared" si="55"/>
        <v>293.33333333333519</v>
      </c>
      <c r="S118" s="62">
        <f ca="1">AVERAGE(OFFSET($R$3,0,0,'Données projet'!$E$9+1,1))-AVERAGE(OFFSET($H$3,0,0,'Données projet'!$E$9+1,1))</f>
        <v>365.70510182727895</v>
      </c>
      <c r="T118" s="62">
        <f t="shared" si="88"/>
        <v>436.23833844962525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91.671561301678594</v>
      </c>
      <c r="AA118" s="23">
        <f>EXP(-LN(2)/25)*AA117+(1-EXP(-LN(2)/25))/(LN(2)/25)*Calculateur!V118*Calculateur!X118*VLOOKUP('Données projet'!$B$9,Paramètres!$A$1:$I$89,3,0)*0.475*44/12</f>
        <v>8.8061759072568826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100.47773720893548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295.83974441964551</v>
      </c>
      <c r="AO118" s="62">
        <f t="shared" si="90"/>
        <v>212.24900914818096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102.23620319738727</v>
      </c>
      <c r="AV118" s="23">
        <f>EXP(-LN(2)/25)*AV117+(1-EXP(-LN(2)/25))/(LN(2)/25)*Calculateur!AQ118*Calculateur!AS118*VLOOKUP('Données projet'!$B$10,Paramètres!$A$1:$I$89,3,0)*0.475*44/12</f>
        <v>10.643269816422299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112.87947301380957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-3.979039320256561E-13</v>
      </c>
      <c r="BE118" s="14">
        <f>BD118*VLOOKUP('Données projet'!$B$11,Paramètres!$A$1:$I$89,3,0)*VLOOKUP('Données projet'!$B$11,Paramètres!$A$1:$I$89,5,0)</f>
        <v>-1.9139179130434059E-13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206.96327004330573</v>
      </c>
      <c r="BJ118" s="62">
        <f t="shared" si="92"/>
        <v>106.52590664430284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135.78824931997815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0.10810436096439532</v>
      </c>
      <c r="BS118" s="24">
        <f t="shared" si="63"/>
        <v>135.89635368094255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6.3550942286383367E-14</v>
      </c>
      <c r="P119" s="14">
        <f t="shared" si="87"/>
        <v>1.0064464192543978E-12</v>
      </c>
      <c r="Q119" s="22">
        <f t="shared" si="107"/>
        <v>1.8635787380168604E-12</v>
      </c>
      <c r="R119" s="62">
        <f t="shared" si="55"/>
        <v>293.33333333333519</v>
      </c>
      <c r="S119" s="62">
        <f ca="1">AVERAGE(OFFSET($R$3,0,0,'Données projet'!$E$9+1,1))-AVERAGE(OFFSET($H$3,0,0,'Données projet'!$E$9+1,1))</f>
        <v>365.70510182727895</v>
      </c>
      <c r="T119" s="62">
        <f t="shared" si="88"/>
        <v>436.23833844962525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89.873937898684005</v>
      </c>
      <c r="AA119" s="23">
        <f>EXP(-LN(2)/25)*AA118+(1-EXP(-LN(2)/25))/(LN(2)/25)*Calculateur!V119*Calculateur!X119*VLOOKUP('Données projet'!$B$9,Paramètres!$A$1:$I$89,3,0)*0.475*44/12</f>
        <v>8.5653705639762787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98.439308462660279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295.83974441964551</v>
      </c>
      <c r="AO119" s="62">
        <f t="shared" si="90"/>
        <v>212.24900914818096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100.23141361061312</v>
      </c>
      <c r="AV119" s="23">
        <f>EXP(-LN(2)/25)*AV118+(1-EXP(-LN(2)/25))/(LN(2)/25)*Calculateur!AQ119*Calculateur!AS119*VLOOKUP('Données projet'!$B$10,Paramètres!$A$1:$I$89,3,0)*0.475*44/12</f>
        <v>10.352229043586997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110.58364265420012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-3.979039320256561E-13</v>
      </c>
      <c r="BE119" s="14">
        <f>BD119*VLOOKUP('Données projet'!$B$11,Paramètres!$A$1:$I$89,3,0)*VLOOKUP('Données projet'!$B$11,Paramètres!$A$1:$I$89,5,0)</f>
        <v>-1.9139179130434059E-13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206.96327004330573</v>
      </c>
      <c r="BJ119" s="62">
        <f t="shared" si="92"/>
        <v>106.52590664430284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133.1255245734674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7.6441326713762234E-2</v>
      </c>
      <c r="BS119" s="24">
        <f t="shared" si="63"/>
        <v>133.20196590018116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6.3550942286383367E-14</v>
      </c>
      <c r="P120" s="14">
        <f t="shared" si="87"/>
        <v>1.0064464192543978E-12</v>
      </c>
      <c r="Q120" s="22">
        <f t="shared" si="107"/>
        <v>1.8635787380168604E-12</v>
      </c>
      <c r="R120" s="62">
        <f t="shared" si="55"/>
        <v>293.33333333333519</v>
      </c>
      <c r="S120" s="62">
        <f ca="1">AVERAGE(OFFSET($R$3,0,0,'Données projet'!$E$9+1,1))-AVERAGE(OFFSET($H$3,0,0,'Données projet'!$E$9+1,1))</f>
        <v>365.70510182727895</v>
      </c>
      <c r="T120" s="62">
        <f t="shared" si="88"/>
        <v>436.23833844962525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88.11156479418014</v>
      </c>
      <c r="AA120" s="23">
        <f>EXP(-LN(2)/25)*AA119+(1-EXP(-LN(2)/25))/(LN(2)/25)*Calculateur!V120*Calculateur!X120*VLOOKUP('Données projet'!$B$9,Paramètres!$A$1:$I$89,3,0)*0.475*44/12</f>
        <v>8.3311500554710864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96.442714849651225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295.83974441964551</v>
      </c>
      <c r="AO120" s="62">
        <f t="shared" si="90"/>
        <v>212.24900914818096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98.265936724834702</v>
      </c>
      <c r="AV120" s="23">
        <f>EXP(-LN(2)/25)*AV119+(1-EXP(-LN(2)/25))/(LN(2)/25)*Calculateur!AQ120*Calculateur!AS120*VLOOKUP('Données projet'!$B$10,Paramètres!$A$1:$I$89,3,0)*0.475*44/12</f>
        <v>10.069146795990045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108.33508352082475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-3.979039320256561E-13</v>
      </c>
      <c r="BE120" s="14">
        <f>BD120*VLOOKUP('Données projet'!$B$11,Paramètres!$A$1:$I$89,3,0)*VLOOKUP('Données projet'!$B$11,Paramètres!$A$1:$I$89,5,0)</f>
        <v>-1.9139179130434059E-13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206.96327004330573</v>
      </c>
      <c r="BJ120" s="62">
        <f t="shared" si="92"/>
        <v>106.52590664430284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130.515014235134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5.4052180482197662E-2</v>
      </c>
      <c r="BS120" s="24">
        <f t="shared" si="63"/>
        <v>130.56906641561619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6.3550942286383367E-14</v>
      </c>
      <c r="P121" s="14">
        <f t="shared" si="87"/>
        <v>1.0064464192543978E-12</v>
      </c>
      <c r="Q121" s="22">
        <f t="shared" si="107"/>
        <v>1.8635787380168604E-12</v>
      </c>
      <c r="R121" s="62">
        <f t="shared" si="55"/>
        <v>293.33333333333519</v>
      </c>
      <c r="S121" s="62">
        <f ca="1">AVERAGE(OFFSET($R$3,0,0,'Données projet'!$E$9+1,1))-AVERAGE(OFFSET($H$3,0,0,'Données projet'!$E$9+1,1))</f>
        <v>365.70510182727895</v>
      </c>
      <c r="T121" s="62">
        <f t="shared" si="88"/>
        <v>436.23833844962525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86.383750751314139</v>
      </c>
      <c r="AA121" s="23">
        <f>EXP(-LN(2)/25)*AA120+(1-EXP(-LN(2)/25))/(LN(2)/25)*Calculateur!V121*Calculateur!X121*VLOOKUP('Données projet'!$B$9,Paramètres!$A$1:$I$89,3,0)*0.475*44/12</f>
        <v>8.1033343190880895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94.48708507040223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295.83974441964551</v>
      </c>
      <c r="AO121" s="62">
        <f t="shared" si="90"/>
        <v>212.24900914818096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96.339001641963875</v>
      </c>
      <c r="AV121" s="23">
        <f>EXP(-LN(2)/25)*AV120+(1-EXP(-LN(2)/25))/(LN(2)/25)*Calculateur!AQ121*Calculateur!AS121*VLOOKUP('Données projet'!$B$10,Paramètres!$A$1:$I$89,3,0)*0.475*44/12</f>
        <v>9.7938054473402811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106.13280708930415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-3.979039320256561E-13</v>
      </c>
      <c r="BE121" s="14">
        <f>BD121*VLOOKUP('Données projet'!$B$11,Paramètres!$A$1:$I$89,3,0)*VLOOKUP('Données projet'!$B$11,Paramètres!$A$1:$I$89,5,0)</f>
        <v>-1.9139179130434059E-13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206.96327004330573</v>
      </c>
      <c r="BJ121" s="62">
        <f t="shared" si="92"/>
        <v>106.52590664430284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127.95569441228125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3.8220663356881117E-2</v>
      </c>
      <c r="BS121" s="24">
        <f t="shared" si="63"/>
        <v>127.99391507563813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6.3550942286383367E-14</v>
      </c>
      <c r="P122" s="14">
        <f t="shared" si="87"/>
        <v>1.0064464192543978E-12</v>
      </c>
      <c r="Q122" s="22">
        <f t="shared" si="107"/>
        <v>1.8635787380168604E-12</v>
      </c>
      <c r="R122" s="62">
        <f t="shared" si="55"/>
        <v>293.33333333333519</v>
      </c>
      <c r="S122" s="62">
        <f ca="1">AVERAGE(OFFSET($R$3,0,0,'Données projet'!$E$9+1,1))-AVERAGE(OFFSET($H$3,0,0,'Données projet'!$E$9+1,1))</f>
        <v>365.70510182727895</v>
      </c>
      <c r="T122" s="62">
        <f t="shared" si="88"/>
        <v>436.23833844962525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84.689818087966231</v>
      </c>
      <c r="AA122" s="23">
        <f>EXP(-LN(2)/25)*AA121+(1-EXP(-LN(2)/25))/(LN(2)/25)*Calculateur!V122*Calculateur!X122*VLOOKUP('Données projet'!$B$9,Paramètres!$A$1:$I$89,3,0)*0.475*44/12</f>
        <v>7.8817482159967946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92.571566303963024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295.83974441964551</v>
      </c>
      <c r="AO122" s="62">
        <f t="shared" si="90"/>
        <v>212.24900914818096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94.449852580753799</v>
      </c>
      <c r="AV122" s="23">
        <f>EXP(-LN(2)/25)*AV121+(1-EXP(-LN(2)/25))/(LN(2)/25)*Calculateur!AQ122*Calculateur!AS122*VLOOKUP('Données projet'!$B$10,Paramètres!$A$1:$I$89,3,0)*0.475*44/12</f>
        <v>9.525993322348917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103.97584590310271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-3.979039320256561E-13</v>
      </c>
      <c r="BE122" s="14">
        <f>BD122*VLOOKUP('Données projet'!$B$11,Paramètres!$A$1:$I$89,3,0)*VLOOKUP('Données projet'!$B$11,Paramètres!$A$1:$I$89,5,0)</f>
        <v>-1.9139179130434059E-13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206.96327004330573</v>
      </c>
      <c r="BJ122" s="62">
        <f t="shared" si="92"/>
        <v>106.52590664430284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125.44656129012367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2.7026090241098831E-2</v>
      </c>
      <c r="BS122" s="24">
        <f t="shared" si="63"/>
        <v>125.47358738036476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6.3550942286383367E-14</v>
      </c>
      <c r="P123" s="14">
        <f t="shared" si="87"/>
        <v>1.0064464192543978E-12</v>
      </c>
      <c r="Q123" s="22">
        <f t="shared" si="107"/>
        <v>1.8635787380168604E-12</v>
      </c>
      <c r="R123" s="62">
        <f t="shared" si="55"/>
        <v>293.33333333333519</v>
      </c>
      <c r="S123" s="62">
        <f ca="1">AVERAGE(OFFSET($R$3,0,0,'Données projet'!$E$9+1,1))-AVERAGE(OFFSET($H$3,0,0,'Données projet'!$E$9+1,1))</f>
        <v>365.70510182727895</v>
      </c>
      <c r="T123" s="62">
        <f t="shared" si="88"/>
        <v>436.23833844962525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83.029102410949676</v>
      </c>
      <c r="AA123" s="23">
        <f>EXP(-LN(2)/25)*AA122+(1-EXP(-LN(2)/25))/(LN(2)/25)*Calculateur!V123*Calculateur!X123*VLOOKUP('Données projet'!$B$9,Paramètres!$A$1:$I$89,3,0)*0.475*44/12</f>
        <v>7.6662213965472379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90.695323807496919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295.83974441964551</v>
      </c>
      <c r="AO123" s="62">
        <f t="shared" si="90"/>
        <v>212.24900914818096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92.597748580366897</v>
      </c>
      <c r="AV123" s="23">
        <f>EXP(-LN(2)/25)*AV122+(1-EXP(-LN(2)/25))/(LN(2)/25)*Calculateur!AQ123*Calculateur!AS123*VLOOKUP('Données projet'!$B$10,Paramètres!$A$1:$I$89,3,0)*0.475*44/12</f>
        <v>9.2655045339990689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101.86325311436596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-3.979039320256561E-13</v>
      </c>
      <c r="BE123" s="14">
        <f>BD123*VLOOKUP('Données projet'!$B$11,Paramètres!$A$1:$I$89,3,0)*VLOOKUP('Données projet'!$B$11,Paramètres!$A$1:$I$89,5,0)</f>
        <v>-1.9139179130434059E-13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206.96327004330573</v>
      </c>
      <c r="BJ123" s="62">
        <f t="shared" si="92"/>
        <v>106.52590664430284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122.98663073807151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1.9110331678440558E-2</v>
      </c>
      <c r="BS123" s="24">
        <f t="shared" si="63"/>
        <v>123.00574106974994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6.3550942286383367E-14</v>
      </c>
      <c r="P124" s="14">
        <f t="shared" si="87"/>
        <v>1.0064464192543978E-12</v>
      </c>
      <c r="Q124" s="22">
        <f t="shared" si="107"/>
        <v>1.8635787380168604E-12</v>
      </c>
      <c r="R124" s="62">
        <f t="shared" si="55"/>
        <v>293.33333333333519</v>
      </c>
      <c r="S124" s="62">
        <f ca="1">AVERAGE(OFFSET($R$3,0,0,'Données projet'!$E$9+1,1))-AVERAGE(OFFSET($H$3,0,0,'Données projet'!$E$9+1,1))</f>
        <v>365.70510182727895</v>
      </c>
      <c r="T124" s="62">
        <f t="shared" si="88"/>
        <v>436.23833844962525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81.400952355422874</v>
      </c>
      <c r="AA124" s="23">
        <f>EXP(-LN(2)/25)*AA123+(1-EXP(-LN(2)/25))/(LN(2)/25)*Calculateur!V124*Calculateur!X124*VLOOKUP('Données projet'!$B$9,Paramètres!$A$1:$I$89,3,0)*0.475*44/12</f>
        <v>7.4565881693095921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88.857540524732471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295.83974441964551</v>
      </c>
      <c r="AO124" s="62">
        <f t="shared" si="90"/>
        <v>212.24900914818096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90.781963209755688</v>
      </c>
      <c r="AV124" s="23">
        <f>EXP(-LN(2)/25)*AV123+(1-EXP(-LN(2)/25))/(LN(2)/25)*Calculateur!AQ124*Calculateur!AS124*VLOOKUP('Données projet'!$B$10,Paramètres!$A$1:$I$89,3,0)*0.475*44/12</f>
        <v>9.0121388252651577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99.794102035020842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-3.979039320256561E-13</v>
      </c>
      <c r="BE124" s="14">
        <f>BD124*VLOOKUP('Données projet'!$B$11,Paramètres!$A$1:$I$89,3,0)*VLOOKUP('Données projet'!$B$11,Paramètres!$A$1:$I$89,5,0)</f>
        <v>-1.9139179130434059E-13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206.96327004330573</v>
      </c>
      <c r="BJ124" s="62">
        <f t="shared" si="92"/>
        <v>106.52590664430284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120.57493792373562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1.3513045120549416E-2</v>
      </c>
      <c r="BS124" s="24">
        <f t="shared" si="63"/>
        <v>120.58845096885616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6.3550942286383367E-14</v>
      </c>
      <c r="P125" s="14">
        <f t="shared" si="87"/>
        <v>1.0064464192543978E-12</v>
      </c>
      <c r="Q125" s="22">
        <f t="shared" si="107"/>
        <v>1.8635787380168604E-12</v>
      </c>
      <c r="R125" s="62">
        <f t="shared" si="55"/>
        <v>293.33333333333519</v>
      </c>
      <c r="S125" s="62">
        <f ca="1">AVERAGE(OFFSET($R$3,0,0,'Données projet'!$E$9+1,1))-AVERAGE(OFFSET($H$3,0,0,'Données projet'!$E$9+1,1))</f>
        <v>365.70510182727895</v>
      </c>
      <c r="T125" s="62">
        <f t="shared" si="88"/>
        <v>436.23833844962525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79.804729329411472</v>
      </c>
      <c r="AA125" s="23">
        <f>EXP(-LN(2)/25)*AA124+(1-EXP(-LN(2)/25))/(LN(2)/25)*Calculateur!V125*Calculateur!X125*VLOOKUP('Données projet'!$B$9,Paramètres!$A$1:$I$89,3,0)*0.475*44/12</f>
        <v>7.2526873736948918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87.057416703106369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295.83974441964551</v>
      </c>
      <c r="AO125" s="62">
        <f t="shared" si="90"/>
        <v>212.24900914818096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89.001784282742449</v>
      </c>
      <c r="AV125" s="23">
        <f>EXP(-LN(2)/25)*AV124+(1-EXP(-LN(2)/25))/(LN(2)/25)*Calculateur!AQ125*Calculateur!AS125*VLOOKUP('Données projet'!$B$10,Paramètres!$A$1:$I$89,3,0)*0.475*44/12</f>
        <v>8.7657014151604979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97.767485697902941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-3.979039320256561E-13</v>
      </c>
      <c r="BE125" s="14">
        <f>BD125*VLOOKUP('Données projet'!$B$11,Paramètres!$A$1:$I$89,3,0)*VLOOKUP('Données projet'!$B$11,Paramètres!$A$1:$I$89,5,0)</f>
        <v>-1.9139179130434059E-13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206.96327004330573</v>
      </c>
      <c r="BJ125" s="62">
        <f t="shared" si="92"/>
        <v>106.52590664430284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118.21053693450148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9.5551658392202792E-3</v>
      </c>
      <c r="BS125" s="24">
        <f t="shared" si="63"/>
        <v>118.22009210034069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6.3550942286383367E-14</v>
      </c>
      <c r="P126" s="14">
        <f t="shared" si="87"/>
        <v>1.0064464192543978E-12</v>
      </c>
      <c r="Q126" s="22">
        <f t="shared" si="107"/>
        <v>1.8635787380168604E-12</v>
      </c>
      <c r="R126" s="62">
        <f t="shared" si="55"/>
        <v>293.33333333333519</v>
      </c>
      <c r="S126" s="62">
        <f ca="1">AVERAGE(OFFSET($R$3,0,0,'Données projet'!$E$9+1,1))-AVERAGE(OFFSET($H$3,0,0,'Données projet'!$E$9+1,1))</f>
        <v>365.70510182727895</v>
      </c>
      <c r="T126" s="62">
        <f t="shared" si="88"/>
        <v>436.23833844962525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78.239807263340239</v>
      </c>
      <c r="AA126" s="23">
        <f>EXP(-LN(2)/25)*AA125+(1-EXP(-LN(2)/25))/(LN(2)/25)*Calculateur!V126*Calculateur!X126*VLOOKUP('Données projet'!$B$9,Paramètres!$A$1:$I$89,3,0)*0.475*44/12</f>
        <v>7.0543622560589521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85.29416951939919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295.83974441964551</v>
      </c>
      <c r="AO126" s="62">
        <f t="shared" si="90"/>
        <v>212.24900914818096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87.256513578686011</v>
      </c>
      <c r="AV126" s="23">
        <f>EXP(-LN(2)/25)*AV125+(1-EXP(-LN(2)/25))/(LN(2)/25)*Calculateur!AQ126*Calculateur!AS126*VLOOKUP('Données projet'!$B$10,Paramètres!$A$1:$I$89,3,0)*0.475*44/12</f>
        <v>8.5260028489947306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95.782516427680747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-3.979039320256561E-13</v>
      </c>
      <c r="BE126" s="14">
        <f>BD126*VLOOKUP('Données projet'!$B$11,Paramètres!$A$1:$I$89,3,0)*VLOOKUP('Données projet'!$B$11,Paramètres!$A$1:$I$89,5,0)</f>
        <v>-1.9139179130434059E-13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206.96327004330573</v>
      </c>
      <c r="BJ126" s="62">
        <f t="shared" si="92"/>
        <v>106.52590664430284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115.89250040652402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6.7565225602747078E-3</v>
      </c>
      <c r="BS126" s="24">
        <f t="shared" si="63"/>
        <v>115.8992569290843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6.3550942286383367E-14</v>
      </c>
      <c r="P127" s="14">
        <f t="shared" si="87"/>
        <v>1.0064464192543978E-12</v>
      </c>
      <c r="Q127" s="22">
        <f t="shared" si="107"/>
        <v>1.8635787380168604E-12</v>
      </c>
      <c r="R127" s="62">
        <f t="shared" si="55"/>
        <v>293.33333333333519</v>
      </c>
      <c r="S127" s="62">
        <f ca="1">AVERAGE(OFFSET($R$3,0,0,'Données projet'!$E$9+1,1))-AVERAGE(OFFSET($H$3,0,0,'Données projet'!$E$9+1,1))</f>
        <v>365.70510182727895</v>
      </c>
      <c r="T127" s="62">
        <f t="shared" si="88"/>
        <v>436.23833844962525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76.705572364476453</v>
      </c>
      <c r="AA127" s="23">
        <f>EXP(-LN(2)/25)*AA126+(1-EXP(-LN(2)/25))/(LN(2)/25)*Calculateur!V127*Calculateur!X127*VLOOKUP('Données projet'!$B$9,Paramètres!$A$1:$I$89,3,0)*0.475*44/12</f>
        <v>6.8614603491942319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83.567032713670685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295.83974441964551</v>
      </c>
      <c r="AO127" s="62">
        <f t="shared" si="90"/>
        <v>212.24900914818096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85.545466568626097</v>
      </c>
      <c r="AV127" s="23">
        <f>EXP(-LN(2)/25)*AV126+(1-EXP(-LN(2)/25))/(LN(2)/25)*Calculateur!AQ127*Calculateur!AS127*VLOOKUP('Données projet'!$B$10,Paramètres!$A$1:$I$89,3,0)*0.475*44/12</f>
        <v>8.292858852725967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93.838325421352067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-3.979039320256561E-13</v>
      </c>
      <c r="BE127" s="14">
        <f>BD127*VLOOKUP('Données projet'!$B$11,Paramètres!$A$1:$I$89,3,0)*VLOOKUP('Données projet'!$B$11,Paramètres!$A$1:$I$89,5,0)</f>
        <v>-1.9139179130434059E-13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206.96327004330573</v>
      </c>
      <c r="BJ127" s="62">
        <f t="shared" si="92"/>
        <v>106.52590664430284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113.61991916099753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4.7775829196101396E-3</v>
      </c>
      <c r="BS127" s="24">
        <f t="shared" si="63"/>
        <v>113.62469674391714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6.3550942286383367E-14</v>
      </c>
      <c r="P128" s="14">
        <f t="shared" si="87"/>
        <v>1.0064464192543978E-12</v>
      </c>
      <c r="Q128" s="22">
        <f t="shared" si="107"/>
        <v>1.8635787380168604E-12</v>
      </c>
      <c r="R128" s="62">
        <f t="shared" si="55"/>
        <v>293.33333333333519</v>
      </c>
      <c r="S128" s="62">
        <f ca="1">AVERAGE(OFFSET($R$3,0,0,'Données projet'!$E$9+1,1))-AVERAGE(OFFSET($H$3,0,0,'Données projet'!$E$9+1,1))</f>
        <v>365.70510182727895</v>
      </c>
      <c r="T128" s="62">
        <f t="shared" si="88"/>
        <v>436.23833844962525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75.201422876188502</v>
      </c>
      <c r="AA128" s="23">
        <f>EXP(-LN(2)/25)*AA127+(1-EXP(-LN(2)/25))/(LN(2)/25)*Calculateur!V128*Calculateur!X128*VLOOKUP('Données projet'!$B$9,Paramètres!$A$1:$I$89,3,0)*0.475*44/12</f>
        <v>6.6738333551169982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81.875256231305499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295.83974441964551</v>
      </c>
      <c r="AO128" s="62">
        <f t="shared" si="90"/>
        <v>212.24900914818096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83.86797214679784</v>
      </c>
      <c r="AV128" s="23">
        <f>EXP(-LN(2)/25)*AV127+(1-EXP(-LN(2)/25))/(LN(2)/25)*Calculateur!AQ128*Calculateur!AS128*VLOOKUP('Données projet'!$B$10,Paramètres!$A$1:$I$89,3,0)*0.475*44/12</f>
        <v>8.0660901912956824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91.934062338093526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-3.979039320256561E-13</v>
      </c>
      <c r="BE128" s="14">
        <f>BD128*VLOOKUP('Données projet'!$B$11,Paramètres!$A$1:$I$89,3,0)*VLOOKUP('Données projet'!$B$11,Paramètres!$A$1:$I$89,5,0)</f>
        <v>-1.9139179130434059E-13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206.96327004330573</v>
      </c>
      <c r="BJ128" s="62">
        <f t="shared" si="92"/>
        <v>106.52590664430284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111.39190184755812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3.3782612801373539E-3</v>
      </c>
      <c r="BS128" s="24">
        <f t="shared" si="63"/>
        <v>111.39528010883825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6.3550942286383367E-14</v>
      </c>
      <c r="P129" s="14">
        <f t="shared" si="87"/>
        <v>1.0064464192543978E-12</v>
      </c>
      <c r="Q129" s="22">
        <f t="shared" si="107"/>
        <v>1.8635787380168604E-12</v>
      </c>
      <c r="R129" s="62">
        <f t="shared" si="55"/>
        <v>293.33333333333519</v>
      </c>
      <c r="S129" s="62">
        <f ca="1">AVERAGE(OFFSET($R$3,0,0,'Données projet'!$E$9+1,1))-AVERAGE(OFFSET($H$3,0,0,'Données projet'!$E$9+1,1))</f>
        <v>365.70510182727895</v>
      </c>
      <c r="T129" s="62">
        <f t="shared" si="88"/>
        <v>436.23833844962525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73.726768841925278</v>
      </c>
      <c r="AA129" s="23">
        <f>EXP(-LN(2)/25)*AA128+(1-EXP(-LN(2)/25))/(LN(2)/25)*Calculateur!V129*Calculateur!X129*VLOOKUP('Données projet'!$B$9,Paramètres!$A$1:$I$89,3,0)*0.475*44/12</f>
        <v>6.4913370310596807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80.218105872984964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295.83974441964551</v>
      </c>
      <c r="AO129" s="62">
        <f t="shared" si="90"/>
        <v>212.24900914818096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82.223372367411059</v>
      </c>
      <c r="AV129" s="23">
        <f>EXP(-LN(2)/25)*AV128+(1-EXP(-LN(2)/25))/(LN(2)/25)*Calculateur!AQ129*Calculateur!AS129*VLOOKUP('Données projet'!$B$10,Paramètres!$A$1:$I$89,3,0)*0.475*44/12</f>
        <v>7.8455225308374539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90.068894898248516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-3.979039320256561E-13</v>
      </c>
      <c r="BE129" s="14">
        <f>BD129*VLOOKUP('Données projet'!$B$11,Paramètres!$A$1:$I$89,3,0)*VLOOKUP('Données projet'!$B$11,Paramètres!$A$1:$I$89,5,0)</f>
        <v>-1.9139179130434059E-13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206.96327004330573</v>
      </c>
      <c r="BJ129" s="62">
        <f t="shared" si="92"/>
        <v>106.52590664430284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109.20757459467887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2.3887914598050698E-3</v>
      </c>
      <c r="BS129" s="24">
        <f t="shared" si="63"/>
        <v>109.20996338613868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6.3550942286383367E-14</v>
      </c>
      <c r="P130" s="14">
        <f t="shared" si="87"/>
        <v>1.0064464192543978E-12</v>
      </c>
      <c r="Q130" s="22">
        <f t="shared" si="107"/>
        <v>1.8635787380168604E-12</v>
      </c>
      <c r="R130" s="62">
        <f t="shared" si="55"/>
        <v>293.33333333333519</v>
      </c>
      <c r="S130" s="62">
        <f ca="1">AVERAGE(OFFSET($R$3,0,0,'Données projet'!$E$9+1,1))-AVERAGE(OFFSET($H$3,0,0,'Données projet'!$E$9+1,1))</f>
        <v>365.70510182727895</v>
      </c>
      <c r="T130" s="62">
        <f t="shared" si="88"/>
        <v>436.23833844962525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72.281031873823807</v>
      </c>
      <c r="AA130" s="23">
        <f>EXP(-LN(2)/25)*AA129+(1-EXP(-LN(2)/25))/(LN(2)/25)*Calculateur!V130*Calculateur!X130*VLOOKUP('Données projet'!$B$9,Paramètres!$A$1:$I$89,3,0)*0.475*44/12</f>
        <v>6.3138310785807752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78.594862952404583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295.83974441964551</v>
      </c>
      <c r="AO130" s="62">
        <f t="shared" si="90"/>
        <v>212.24900914818096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80.611022186591242</v>
      </c>
      <c r="AV130" s="23">
        <f>EXP(-LN(2)/25)*AV129+(1-EXP(-LN(2)/25))/(LN(2)/25)*Calculateur!AQ130*Calculateur!AS130*VLOOKUP('Données projet'!$B$10,Paramètres!$A$1:$I$89,3,0)*0.475*44/12</f>
        <v>7.6309863046536046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88.242008491244846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-3.979039320256561E-13</v>
      </c>
      <c r="BE130" s="14">
        <f>BD130*VLOOKUP('Données projet'!$B$11,Paramètres!$A$1:$I$89,3,0)*VLOOKUP('Données projet'!$B$11,Paramètres!$A$1:$I$89,5,0)</f>
        <v>-1.9139179130434059E-13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206.96327004330573</v>
      </c>
      <c r="BJ130" s="62">
        <f t="shared" si="92"/>
        <v>106.52590664430284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107.06608066692053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1.6891306400686769E-3</v>
      </c>
      <c r="BS130" s="24">
        <f t="shared" si="63"/>
        <v>107.0677697975606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6.3550942286383367E-14</v>
      </c>
      <c r="P131" s="14">
        <f t="shared" si="87"/>
        <v>1.0064464192543978E-12</v>
      </c>
      <c r="Q131" s="22">
        <f t="shared" ref="Q131:Q153" si="108">(O131+P131)*0.475*44/12</f>
        <v>1.8635787380168604E-12</v>
      </c>
      <c r="R131" s="62">
        <f t="shared" ref="R131:R194" si="109">Q131+(I131+J131)*44/12</f>
        <v>293.33333333333519</v>
      </c>
      <c r="S131" s="62">
        <f ca="1">AVERAGE(OFFSET($R$3,0,0,'Données projet'!$E$9+1,1))-AVERAGE(OFFSET($H$3,0,0,'Données projet'!$E$9+1,1))</f>
        <v>365.70510182727895</v>
      </c>
      <c r="T131" s="62">
        <f t="shared" si="88"/>
        <v>436.23833844962525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70.863644925854331</v>
      </c>
      <c r="AA131" s="23">
        <f>EXP(-LN(2)/25)*AA130+(1-EXP(-LN(2)/25))/(LN(2)/25)*Calculateur!V131*Calculateur!X131*VLOOKUP('Données projet'!$B$9,Paramètres!$A$1:$I$89,3,0)*0.475*44/12</f>
        <v>6.1411790357070375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77.004823961561371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295.83974441964551</v>
      </c>
      <c r="AO131" s="62">
        <f t="shared" si="90"/>
        <v>212.24900914818096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79.030289209380797</v>
      </c>
      <c r="AV131" s="23">
        <f>EXP(-LN(2)/25)*AV130+(1-EXP(-LN(2)/25))/(LN(2)/25)*Calculateur!AQ131*Calculateur!AS131*VLOOKUP('Données projet'!$B$10,Paramètres!$A$1:$I$89,3,0)*0.475*44/12</f>
        <v>7.4223165828567232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86.45260579223752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-3.979039320256561E-13</v>
      </c>
      <c r="BE131" s="14">
        <f>BD131*VLOOKUP('Données projet'!$B$11,Paramètres!$A$1:$I$89,3,0)*VLOOKUP('Données projet'!$B$11,Paramètres!$A$1:$I$89,5,0)</f>
        <v>-1.9139179130434059E-13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206.96327004330573</v>
      </c>
      <c r="BJ131" s="62">
        <f t="shared" si="92"/>
        <v>106.52590664430284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104.9665801289032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1.1943957299025349E-3</v>
      </c>
      <c r="BS131" s="24">
        <f t="shared" si="63"/>
        <v>104.9677745246331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6.3550942286383367E-14</v>
      </c>
      <c r="P132" s="14">
        <f t="shared" si="87"/>
        <v>1.0064464192543978E-12</v>
      </c>
      <c r="Q132" s="22">
        <f t="shared" si="108"/>
        <v>1.8635787380168604E-12</v>
      </c>
      <c r="R132" s="62">
        <f t="shared" si="109"/>
        <v>293.33333333333519</v>
      </c>
      <c r="S132" s="62">
        <f ca="1">AVERAGE(OFFSET($R$3,0,0,'Données projet'!$E$9+1,1))-AVERAGE(OFFSET($H$3,0,0,'Données projet'!$E$9+1,1))</f>
        <v>365.70510182727895</v>
      </c>
      <c r="T132" s="62">
        <f t="shared" si="88"/>
        <v>436.23833844962525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69.474052071413865</v>
      </c>
      <c r="AA132" s="23">
        <f>EXP(-LN(2)/25)*AA131+(1-EXP(-LN(2)/25))/(LN(2)/25)*Calculateur!V132*Calculateur!X132*VLOOKUP('Données projet'!$B$9,Paramètres!$A$1:$I$89,3,0)*0.475*44/12</f>
        <v>5.973248172025059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75.447300243438917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295.83974441964551</v>
      </c>
      <c r="AO132" s="62">
        <f t="shared" si="90"/>
        <v>212.24900914818096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77.480553441701531</v>
      </c>
      <c r="AV132" s="23">
        <f>EXP(-LN(2)/25)*AV131+(1-EXP(-LN(2)/25))/(LN(2)/25)*Calculateur!AQ132*Calculateur!AS132*VLOOKUP('Données projet'!$B$10,Paramètres!$A$1:$I$89,3,0)*0.475*44/12</f>
        <v>7.2193529455758414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84.699906387277366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-3.979039320256561E-13</v>
      </c>
      <c r="BE132" s="14">
        <f>BD132*VLOOKUP('Données projet'!$B$11,Paramètres!$A$1:$I$89,3,0)*VLOOKUP('Données projet'!$B$11,Paramètres!$A$1:$I$89,5,0)</f>
        <v>-1.9139179130434059E-13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206.96327004330573</v>
      </c>
      <c r="BJ132" s="62">
        <f t="shared" si="92"/>
        <v>106.52590664430284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102.90824951586751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8.4456532003433847E-4</v>
      </c>
      <c r="BS132" s="24">
        <f t="shared" ref="BS132:BS153" si="117">SUM(BP132:BR132)</f>
        <v>102.90909408118755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6.3550942286383367E-14</v>
      </c>
      <c r="P133" s="14">
        <f t="shared" ref="P133:P196" si="141">EXP(-1.0587+0.8836*LN(O133)+0.284)</f>
        <v>1.0064464192543978E-12</v>
      </c>
      <c r="Q133" s="22">
        <f t="shared" si="108"/>
        <v>1.8635787380168604E-12</v>
      </c>
      <c r="R133" s="62">
        <f t="shared" si="109"/>
        <v>293.33333333333519</v>
      </c>
      <c r="S133" s="62">
        <f ca="1">AVERAGE(OFFSET($R$3,0,0,'Données projet'!$E$9+1,1))-AVERAGE(OFFSET($H$3,0,0,'Données projet'!$E$9+1,1))</f>
        <v>365.70510182727895</v>
      </c>
      <c r="T133" s="62">
        <f t="shared" ref="T133:T196" si="142">$T$3</f>
        <v>436.23833844962525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68.111708285281026</v>
      </c>
      <c r="AA133" s="23">
        <f>EXP(-LN(2)/25)*AA132+(1-EXP(-LN(2)/25))/(LN(2)/25)*Calculateur!V133*Calculateur!X133*VLOOKUP('Données projet'!$B$9,Paramètres!$A$1:$I$89,3,0)*0.475*44/12</f>
        <v>5.8099093866415643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73.92161767192259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295.83974441964551</v>
      </c>
      <c r="AO133" s="62">
        <f t="shared" ref="AO133:AO196" si="144">$AO$3</f>
        <v>212.24900914818096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75.961207047180977</v>
      </c>
      <c r="AV133" s="23">
        <f>EXP(-LN(2)/25)*AV132+(1-EXP(-LN(2)/25))/(LN(2)/25)*Calculateur!AQ133*Calculateur!AS133*VLOOKUP('Données projet'!$B$10,Paramètres!$A$1:$I$89,3,0)*0.475*44/12</f>
        <v>7.0219393596297985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82.983146406810775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-3.979039320256561E-13</v>
      </c>
      <c r="BE133" s="14">
        <f>BD133*VLOOKUP('Données projet'!$B$11,Paramètres!$A$1:$I$89,3,0)*VLOOKUP('Données projet'!$B$11,Paramètres!$A$1:$I$89,5,0)</f>
        <v>-1.9139179130434059E-13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206.96327004330573</v>
      </c>
      <c r="BJ133" s="62">
        <f t="shared" ref="BJ133:BJ196" si="146">$BJ$3</f>
        <v>106.52590664430284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100.89028151069574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5.9719786495126745E-4</v>
      </c>
      <c r="BS133" s="24">
        <f t="shared" si="117"/>
        <v>100.89087870856069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6.3550942286383367E-14</v>
      </c>
      <c r="P134" s="14">
        <f t="shared" si="141"/>
        <v>1.0064464192543978E-12</v>
      </c>
      <c r="Q134" s="22">
        <f t="shared" si="108"/>
        <v>1.8635787380168604E-12</v>
      </c>
      <c r="R134" s="62">
        <f t="shared" si="109"/>
        <v>293.33333333333519</v>
      </c>
      <c r="S134" s="62">
        <f ca="1">AVERAGE(OFFSET($R$3,0,0,'Données projet'!$E$9+1,1))-AVERAGE(OFFSET($H$3,0,0,'Données projet'!$E$9+1,1))</f>
        <v>365.70510182727895</v>
      </c>
      <c r="T134" s="62">
        <f t="shared" si="142"/>
        <v>436.23833844962525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66.776079229846587</v>
      </c>
      <c r="AA134" s="23">
        <f>EXP(-LN(2)/25)*AA133+(1-EXP(-LN(2)/25))/(LN(2)/25)*Calculateur!V134*Calculateur!X134*VLOOKUP('Données projet'!$B$9,Paramètres!$A$1:$I$89,3,0)*0.475*44/12</f>
        <v>5.6510371089339948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72.427116338780579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295.83974441964551</v>
      </c>
      <c r="AO134" s="62">
        <f t="shared" si="144"/>
        <v>212.24900914818096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74.471654108747174</v>
      </c>
      <c r="AV134" s="23">
        <f>EXP(-LN(2)/25)*AV133+(1-EXP(-LN(2)/25))/(LN(2)/25)*Calculateur!AQ134*Calculateur!AS134*VLOOKUP('Données projet'!$B$10,Paramètres!$A$1:$I$89,3,0)*0.475*44/12</f>
        <v>6.8299240585729795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81.301578167320159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-3.979039320256561E-13</v>
      </c>
      <c r="BE134" s="14">
        <f>BD134*VLOOKUP('Données projet'!$B$11,Paramètres!$A$1:$I$89,3,0)*VLOOKUP('Données projet'!$B$11,Paramètres!$A$1:$I$89,5,0)</f>
        <v>-1.9139179130434059E-13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206.96327004330573</v>
      </c>
      <c r="BJ134" s="62">
        <f t="shared" si="146"/>
        <v>106.52590664430284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98.911884627266446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4.2228266001716923E-4</v>
      </c>
      <c r="BS134" s="24">
        <f t="shared" si="117"/>
        <v>98.912306909926457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6.3550942286383367E-14</v>
      </c>
      <c r="P135" s="14">
        <f t="shared" si="141"/>
        <v>1.0064464192543978E-12</v>
      </c>
      <c r="Q135" s="22">
        <f t="shared" si="108"/>
        <v>1.8635787380168604E-12</v>
      </c>
      <c r="R135" s="62">
        <f t="shared" si="109"/>
        <v>293.33333333333519</v>
      </c>
      <c r="S135" s="62">
        <f ca="1">AVERAGE(OFFSET($R$3,0,0,'Données projet'!$E$9+1,1))-AVERAGE(OFFSET($H$3,0,0,'Données projet'!$E$9+1,1))</f>
        <v>365.70510182727895</v>
      </c>
      <c r="T135" s="62">
        <f t="shared" si="142"/>
        <v>436.23833844962525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65.466641045535937</v>
      </c>
      <c r="AA135" s="23">
        <f>EXP(-LN(2)/25)*AA134+(1-EXP(-LN(2)/25))/(LN(2)/25)*Calculateur!V135*Calculateur!X135*VLOOKUP('Données projet'!$B$9,Paramètres!$A$1:$I$89,3,0)*0.475*44/12</f>
        <v>5.4965092020150692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70.963150247550999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295.83974441964551</v>
      </c>
      <c r="AO135" s="62">
        <f t="shared" si="144"/>
        <v>212.24900914818096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73.011310394898473</v>
      </c>
      <c r="AV135" s="23">
        <f>EXP(-LN(2)/25)*AV134+(1-EXP(-LN(2)/25))/(LN(2)/25)*Calculateur!AQ135*Calculateur!AS135*VLOOKUP('Données projet'!$B$10,Paramètres!$A$1:$I$89,3,0)*0.475*44/12</f>
        <v>6.6431594260212048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79.654469820919672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-3.979039320256561E-13</v>
      </c>
      <c r="BE135" s="14">
        <f>BD135*VLOOKUP('Données projet'!$B$11,Paramètres!$A$1:$I$89,3,0)*VLOOKUP('Données projet'!$B$11,Paramètres!$A$1:$I$89,5,0)</f>
        <v>-1.9139179130434059E-13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206.96327004330573</v>
      </c>
      <c r="BJ135" s="62">
        <f t="shared" si="146"/>
        <v>106.52590664430284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96.972282900018257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2.9859893247563373E-4</v>
      </c>
      <c r="BS135" s="24">
        <f t="shared" si="117"/>
        <v>96.972581498950731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6.3550942286383367E-14</v>
      </c>
      <c r="P136" s="14">
        <f t="shared" si="141"/>
        <v>1.0064464192543978E-12</v>
      </c>
      <c r="Q136" s="22">
        <f t="shared" si="108"/>
        <v>1.8635787380168604E-12</v>
      </c>
      <c r="R136" s="62">
        <f t="shared" si="109"/>
        <v>293.33333333333519</v>
      </c>
      <c r="S136" s="62">
        <f ca="1">AVERAGE(OFFSET($R$3,0,0,'Données projet'!$E$9+1,1))-AVERAGE(OFFSET($H$3,0,0,'Données projet'!$E$9+1,1))</f>
        <v>365.70510182727895</v>
      </c>
      <c r="T136" s="62">
        <f t="shared" si="142"/>
        <v>436.23833844962525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64.182880145341187</v>
      </c>
      <c r="AA136" s="23">
        <f>EXP(-LN(2)/25)*AA135+(1-EXP(-LN(2)/25))/(LN(2)/25)*Calculateur!V136*Calculateur!X136*VLOOKUP('Données projet'!$B$9,Paramètres!$A$1:$I$89,3,0)*0.475*44/12</f>
        <v>5.3462068688371103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69.529087014178302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295.83974441964551</v>
      </c>
      <c r="AO136" s="62">
        <f t="shared" si="144"/>
        <v>212.24900914818096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71.579603130556634</v>
      </c>
      <c r="AV136" s="23">
        <f>EXP(-LN(2)/25)*AV135+(1-EXP(-LN(2)/25))/(LN(2)/25)*Calculateur!AQ136*Calculateur!AS136*VLOOKUP('Données projet'!$B$10,Paramètres!$A$1:$I$89,3,0)*0.475*44/12</f>
        <v>6.4615018821680836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78.041105012724714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-3.979039320256561E-13</v>
      </c>
      <c r="BE136" s="14">
        <f>BD136*VLOOKUP('Données projet'!$B$11,Paramètres!$A$1:$I$89,3,0)*VLOOKUP('Données projet'!$B$11,Paramètres!$A$1:$I$89,5,0)</f>
        <v>-1.9139179130434059E-13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206.96327004330573</v>
      </c>
      <c r="BJ136" s="62">
        <f t="shared" si="146"/>
        <v>106.52590664430284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95.070715579601156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2.1114133000858462E-4</v>
      </c>
      <c r="BS136" s="24">
        <f t="shared" si="117"/>
        <v>95.070926720931169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6.3550942286383367E-14</v>
      </c>
      <c r="P137" s="14">
        <f t="shared" si="141"/>
        <v>1.0064464192543978E-12</v>
      </c>
      <c r="Q137" s="22">
        <f t="shared" si="108"/>
        <v>1.8635787380168604E-12</v>
      </c>
      <c r="R137" s="62">
        <f t="shared" si="109"/>
        <v>293.33333333333519</v>
      </c>
      <c r="S137" s="62">
        <f ca="1">AVERAGE(OFFSET($R$3,0,0,'Données projet'!$E$9+1,1))-AVERAGE(OFFSET($H$3,0,0,'Données projet'!$E$9+1,1))</f>
        <v>365.70510182727895</v>
      </c>
      <c r="T137" s="62">
        <f t="shared" si="142"/>
        <v>436.23833844962525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62.924293013382425</v>
      </c>
      <c r="AA137" s="23">
        <f>EXP(-LN(2)/25)*AA136+(1-EXP(-LN(2)/25))/(LN(2)/25)*Calculateur!V137*Calculateur!X137*VLOOKUP('Données projet'!$B$9,Paramètres!$A$1:$I$89,3,0)*0.475*44/12</f>
        <v>5.2000145608639592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68.124307574246387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295.83974441964551</v>
      </c>
      <c r="AO137" s="62">
        <f t="shared" si="144"/>
        <v>212.24900914818096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70.175970772413336</v>
      </c>
      <c r="AV137" s="23">
        <f>EXP(-LN(2)/25)*AV136+(1-EXP(-LN(2)/25))/(LN(2)/25)*Calculateur!AQ137*Calculateur!AS137*VLOOKUP('Données projet'!$B$10,Paramètres!$A$1:$I$89,3,0)*0.475*44/12</f>
        <v>6.2848117734045816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76.460782545817921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-3.979039320256561E-13</v>
      </c>
      <c r="BE137" s="14">
        <f>BD137*VLOOKUP('Données projet'!$B$11,Paramètres!$A$1:$I$89,3,0)*VLOOKUP('Données projet'!$B$11,Paramètres!$A$1:$I$89,5,0)</f>
        <v>-1.9139179130434059E-13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206.96327004330573</v>
      </c>
      <c r="BJ137" s="62">
        <f t="shared" si="146"/>
        <v>106.52590664430284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93.206436834495904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1.4929946623781686E-4</v>
      </c>
      <c r="BS137" s="24">
        <f t="shared" si="117"/>
        <v>93.206586133962148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6.3550942286383367E-14</v>
      </c>
      <c r="P138" s="14">
        <f t="shared" si="141"/>
        <v>1.0064464192543978E-12</v>
      </c>
      <c r="Q138" s="22">
        <f t="shared" si="108"/>
        <v>1.8635787380168604E-12</v>
      </c>
      <c r="R138" s="62">
        <f t="shared" si="109"/>
        <v>293.33333333333519</v>
      </c>
      <c r="S138" s="62">
        <f ca="1">AVERAGE(OFFSET($R$3,0,0,'Données projet'!$E$9+1,1))-AVERAGE(OFFSET($H$3,0,0,'Données projet'!$E$9+1,1))</f>
        <v>365.70510182727895</v>
      </c>
      <c r="T138" s="62">
        <f t="shared" si="142"/>
        <v>436.23833844962525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61.690386007419022</v>
      </c>
      <c r="AA138" s="23">
        <f>EXP(-LN(2)/25)*AA137+(1-EXP(-LN(2)/25))/(LN(2)/25)*Calculateur!V138*Calculateur!X138*VLOOKUP('Données projet'!$B$9,Paramètres!$A$1:$I$89,3,0)*0.475*44/12</f>
        <v>5.0578198892402533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66.748205896659272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295.83974441964551</v>
      </c>
      <c r="AO138" s="62">
        <f t="shared" si="144"/>
        <v>212.24900914818096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68.79986278868202</v>
      </c>
      <c r="AV138" s="23">
        <f>EXP(-LN(2)/25)*AV137+(1-EXP(-LN(2)/25))/(LN(2)/25)*Calculateur!AQ138*Calculateur!AS138*VLOOKUP('Données projet'!$B$10,Paramètres!$A$1:$I$89,3,0)*0.475*44/12</f>
        <v>6.1129532649569462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74.912816053638963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-3.979039320256561E-13</v>
      </c>
      <c r="BE138" s="14">
        <f>BD138*VLOOKUP('Données projet'!$B$11,Paramètres!$A$1:$I$89,3,0)*VLOOKUP('Données projet'!$B$11,Paramètres!$A$1:$I$89,5,0)</f>
        <v>-1.9139179130434059E-13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206.96327004330573</v>
      </c>
      <c r="BJ138" s="62">
        <f t="shared" si="146"/>
        <v>106.52590664430284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91.378715458484407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1.0557066500429231E-4</v>
      </c>
      <c r="BS138" s="24">
        <f t="shared" si="117"/>
        <v>91.378821029149407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6.3550942286383367E-14</v>
      </c>
      <c r="P139" s="14">
        <f t="shared" si="141"/>
        <v>1.0064464192543978E-12</v>
      </c>
      <c r="Q139" s="22">
        <f t="shared" si="108"/>
        <v>1.8635787380168604E-12</v>
      </c>
      <c r="R139" s="62">
        <f t="shared" si="109"/>
        <v>293.33333333333519</v>
      </c>
      <c r="S139" s="62">
        <f ca="1">AVERAGE(OFFSET($R$3,0,0,'Données projet'!$E$9+1,1))-AVERAGE(OFFSET($H$3,0,0,'Données projet'!$E$9+1,1))</f>
        <v>365.70510182727895</v>
      </c>
      <c r="T139" s="62">
        <f t="shared" si="142"/>
        <v>436.23833844962525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60.480675165233599</v>
      </c>
      <c r="AA139" s="23">
        <f>EXP(-LN(2)/25)*AA138+(1-EXP(-LN(2)/25))/(LN(2)/25)*Calculateur!V139*Calculateur!X139*VLOOKUP('Données projet'!$B$9,Paramètres!$A$1:$I$89,3,0)*0.475*44/12</f>
        <v>4.9195135383897908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65.400188703623385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295.83974441964551</v>
      </c>
      <c r="AO139" s="62">
        <f t="shared" si="144"/>
        <v>212.24900914818096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67.450739443168686</v>
      </c>
      <c r="AV139" s="23">
        <f>EXP(-LN(2)/25)*AV138+(1-EXP(-LN(2)/25))/(LN(2)/25)*Calculateur!AQ139*Calculateur!AS139*VLOOKUP('Données projet'!$B$10,Paramètres!$A$1:$I$89,3,0)*0.475*44/12</f>
        <v>5.9457942364604577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73.396533679629144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-3.979039320256561E-13</v>
      </c>
      <c r="BE139" s="14">
        <f>BD139*VLOOKUP('Données projet'!$B$11,Paramètres!$A$1:$I$89,3,0)*VLOOKUP('Données projet'!$B$11,Paramètres!$A$1:$I$89,5,0)</f>
        <v>-1.9139179130434059E-13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206.96327004330573</v>
      </c>
      <c r="BJ139" s="62">
        <f t="shared" si="146"/>
        <v>106.52590664430284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89.586834583856529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7.4649733118908431E-5</v>
      </c>
      <c r="BS139" s="24">
        <f t="shared" si="117"/>
        <v>89.586909233589651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6.3550942286383367E-14</v>
      </c>
      <c r="P140" s="14">
        <f t="shared" si="141"/>
        <v>1.0064464192543978E-12</v>
      </c>
      <c r="Q140" s="22">
        <f t="shared" si="108"/>
        <v>1.8635787380168604E-12</v>
      </c>
      <c r="R140" s="62">
        <f t="shared" si="109"/>
        <v>293.33333333333519</v>
      </c>
      <c r="S140" s="62">
        <f ca="1">AVERAGE(OFFSET($R$3,0,0,'Données projet'!$E$9+1,1))-AVERAGE(OFFSET($H$3,0,0,'Données projet'!$E$9+1,1))</f>
        <v>365.70510182727895</v>
      </c>
      <c r="T140" s="62">
        <f t="shared" si="142"/>
        <v>436.23833844962525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59.294686014812676</v>
      </c>
      <c r="AA140" s="23">
        <f>EXP(-LN(2)/25)*AA139+(1-EXP(-LN(2)/25))/(LN(2)/25)*Calculateur!V140*Calculateur!X140*VLOOKUP('Données projet'!$B$9,Paramètres!$A$1:$I$89,3,0)*0.475*44/12</f>
        <v>4.7849891819765489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64.079675196789225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295.83974441964551</v>
      </c>
      <c r="AO140" s="62">
        <f t="shared" si="144"/>
        <v>212.24900914818096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66.128071583576883</v>
      </c>
      <c r="AV140" s="23">
        <f>EXP(-LN(2)/25)*AV139+(1-EXP(-LN(2)/25))/(LN(2)/25)*Calculateur!AQ140*Calculateur!AS140*VLOOKUP('Données projet'!$B$10,Paramètres!$A$1:$I$89,3,0)*0.475*44/12</f>
        <v>5.7832061803887171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71.9112777639656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-3.979039320256561E-13</v>
      </c>
      <c r="BE140" s="14">
        <f>BD140*VLOOKUP('Données projet'!$B$11,Paramètres!$A$1:$I$89,3,0)*VLOOKUP('Données projet'!$B$11,Paramètres!$A$1:$I$89,5,0)</f>
        <v>-1.9139179130434059E-13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206.96327004330573</v>
      </c>
      <c r="BJ140" s="62">
        <f t="shared" si="146"/>
        <v>106.52590664430284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87.83009140024069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5.2785332502146154E-5</v>
      </c>
      <c r="BS140" s="24">
        <f t="shared" si="117"/>
        <v>87.830144185573189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6.3550942286383367E-14</v>
      </c>
      <c r="P141" s="14">
        <f t="shared" si="141"/>
        <v>1.0064464192543978E-12</v>
      </c>
      <c r="Q141" s="22">
        <f t="shared" si="108"/>
        <v>1.8635787380168604E-12</v>
      </c>
      <c r="R141" s="62">
        <f t="shared" si="109"/>
        <v>293.33333333333519</v>
      </c>
      <c r="S141" s="62">
        <f ca="1">AVERAGE(OFFSET($R$3,0,0,'Données projet'!$E$9+1,1))-AVERAGE(OFFSET($H$3,0,0,'Données projet'!$E$9+1,1))</f>
        <v>365.70510182727895</v>
      </c>
      <c r="T141" s="62">
        <f t="shared" si="142"/>
        <v>436.23833844962525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58.131953388249556</v>
      </c>
      <c r="AA141" s="23">
        <f>EXP(-LN(2)/25)*AA140+(1-EXP(-LN(2)/25))/(LN(2)/25)*Calculateur!V141*Calculateur!X141*VLOOKUP('Données projet'!$B$9,Paramètres!$A$1:$I$89,3,0)*0.475*44/12</f>
        <v>4.654143401163755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62.786096789413314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295.83974441964551</v>
      </c>
      <c r="AO141" s="62">
        <f t="shared" si="144"/>
        <v>212.24900914818096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64.831340433963945</v>
      </c>
      <c r="AV141" s="23">
        <f>EXP(-LN(2)/25)*AV140+(1-EXP(-LN(2)/25))/(LN(2)/25)*Calculateur!AQ141*Calculateur!AS141*VLOOKUP('Données projet'!$B$10,Paramètres!$A$1:$I$89,3,0)*0.475*44/12</f>
        <v>5.6250641032603923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70.45640453722433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-3.979039320256561E-13</v>
      </c>
      <c r="BE141" s="14">
        <f>BD141*VLOOKUP('Données projet'!$B$11,Paramètres!$A$1:$I$89,3,0)*VLOOKUP('Données projet'!$B$11,Paramètres!$A$1:$I$89,5,0)</f>
        <v>-1.9139179130434059E-13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206.96327004330573</v>
      </c>
      <c r="BJ141" s="62">
        <f t="shared" si="146"/>
        <v>106.52590664430284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86.107796878948022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3.7324866559454216E-5</v>
      </c>
      <c r="BS141" s="24">
        <f t="shared" si="117"/>
        <v>86.107834203814576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6.3550942286383367E-14</v>
      </c>
      <c r="P142" s="14">
        <f t="shared" si="141"/>
        <v>1.0064464192543978E-12</v>
      </c>
      <c r="Q142" s="22">
        <f t="shared" si="108"/>
        <v>1.8635787380168604E-12</v>
      </c>
      <c r="R142" s="62">
        <f t="shared" si="109"/>
        <v>293.33333333333519</v>
      </c>
      <c r="S142" s="62">
        <f ca="1">AVERAGE(OFFSET($R$3,0,0,'Données projet'!$E$9+1,1))-AVERAGE(OFFSET($H$3,0,0,'Données projet'!$E$9+1,1))</f>
        <v>365.70510182727895</v>
      </c>
      <c r="T142" s="62">
        <f t="shared" si="142"/>
        <v>436.23833844962525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56.992021239296463</v>
      </c>
      <c r="AA142" s="23">
        <f>EXP(-LN(2)/25)*AA141+(1-EXP(-LN(2)/25))/(LN(2)/25)*Calculateur!V142*Calculateur!X142*VLOOKUP('Données projet'!$B$9,Paramètres!$A$1:$I$89,3,0)*0.475*44/12</f>
        <v>4.5268756051081676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61.51889684440463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295.83974441964551</v>
      </c>
      <c r="AO142" s="62">
        <f t="shared" si="144"/>
        <v>212.24900914818096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63.560037391267009</v>
      </c>
      <c r="AV142" s="23">
        <f>EXP(-LN(2)/25)*AV141+(1-EXP(-LN(2)/25))/(LN(2)/25)*Calculateur!AQ142*Calculateur!AS142*VLOOKUP('Données projet'!$B$10,Paramètres!$A$1:$I$89,3,0)*0.475*44/12</f>
        <v>5.4712464295474721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69.03128382081448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-3.979039320256561E-13</v>
      </c>
      <c r="BE142" s="14">
        <f>BD142*VLOOKUP('Données projet'!$B$11,Paramètres!$A$1:$I$89,3,0)*VLOOKUP('Données projet'!$B$11,Paramètres!$A$1:$I$89,5,0)</f>
        <v>-1.9139179130434059E-13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206.96327004330573</v>
      </c>
      <c r="BJ142" s="62">
        <f t="shared" si="146"/>
        <v>106.52590664430284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84.419275502721973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2.6392666251073077E-5</v>
      </c>
      <c r="BS142" s="24">
        <f t="shared" si="117"/>
        <v>84.41930189538823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6.3550942286383367E-14</v>
      </c>
      <c r="P143" s="14">
        <f t="shared" si="141"/>
        <v>1.0064464192543978E-12</v>
      </c>
      <c r="Q143" s="22">
        <f t="shared" si="108"/>
        <v>1.8635787380168604E-12</v>
      </c>
      <c r="R143" s="62">
        <f t="shared" si="109"/>
        <v>293.33333333333519</v>
      </c>
      <c r="S143" s="62">
        <f ca="1">AVERAGE(OFFSET($R$3,0,0,'Données projet'!$E$9+1,1))-AVERAGE(OFFSET($H$3,0,0,'Données projet'!$E$9+1,1))</f>
        <v>365.70510182727895</v>
      </c>
      <c r="T143" s="62">
        <f t="shared" si="142"/>
        <v>436.23833844962525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55.874442464494379</v>
      </c>
      <c r="AA143" s="23">
        <f>EXP(-LN(2)/25)*AA142+(1-EXP(-LN(2)/25))/(LN(2)/25)*Calculateur!V143*Calculateur!X143*VLOOKUP('Données projet'!$B$9,Paramètres!$A$1:$I$89,3,0)*0.475*44/12</f>
        <v>4.4030879536284431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60.277530418122822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295.83974441964551</v>
      </c>
      <c r="AO143" s="62">
        <f t="shared" si="144"/>
        <v>212.24900914818096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62.31366382581907</v>
      </c>
      <c r="AV143" s="23">
        <f>EXP(-LN(2)/25)*AV142+(1-EXP(-LN(2)/25))/(LN(2)/25)*Calculateur!AQ143*Calculateur!AS143*VLOOKUP('Données projet'!$B$10,Paramètres!$A$1:$I$89,3,0)*0.475*44/12</f>
        <v>5.3216349082111511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67.635298734030215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-3.979039320256561E-13</v>
      </c>
      <c r="BE143" s="14">
        <f>BD143*VLOOKUP('Données projet'!$B$11,Paramètres!$A$1:$I$89,3,0)*VLOOKUP('Données projet'!$B$11,Paramètres!$A$1:$I$89,5,0)</f>
        <v>-1.9139179130434059E-13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206.96327004330573</v>
      </c>
      <c r="BJ143" s="62">
        <f t="shared" si="146"/>
        <v>106.52590664430284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82.763865000787376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1.8662433279727108E-5</v>
      </c>
      <c r="BS143" s="24">
        <f t="shared" si="117"/>
        <v>82.763883663220653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6.3550942286383367E-14</v>
      </c>
      <c r="P144" s="14">
        <f t="shared" si="141"/>
        <v>1.0064464192543978E-12</v>
      </c>
      <c r="Q144" s="22">
        <f t="shared" si="108"/>
        <v>1.8635787380168604E-12</v>
      </c>
      <c r="R144" s="62">
        <f t="shared" si="109"/>
        <v>293.33333333333519</v>
      </c>
      <c r="S144" s="62">
        <f ca="1">AVERAGE(OFFSET($R$3,0,0,'Données projet'!$E$9+1,1))-AVERAGE(OFFSET($H$3,0,0,'Données projet'!$E$9+1,1))</f>
        <v>365.70510182727895</v>
      </c>
      <c r="T144" s="62">
        <f t="shared" si="142"/>
        <v>436.23833844962525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54.778778727810426</v>
      </c>
      <c r="AA144" s="23">
        <f>EXP(-LN(2)/25)*AA143+(1-EXP(-LN(2)/25))/(LN(2)/25)*Calculateur!V144*Calculateur!X144*VLOOKUP('Données projet'!$B$9,Paramètres!$A$1:$I$89,3,0)*0.475*44/12</f>
        <v>4.2826852819881411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59.06146400979857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295.83974441964551</v>
      </c>
      <c r="AO144" s="62">
        <f t="shared" si="144"/>
        <v>212.24900914818096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61.091730885776755</v>
      </c>
      <c r="AV144" s="23">
        <f>EXP(-LN(2)/25)*AV143+(1-EXP(-LN(2)/25))/(LN(2)/25)*Calculateur!AQ144*Calculateur!AS144*VLOOKUP('Données projet'!$B$10,Paramètres!$A$1:$I$89,3,0)*0.475*44/12</f>
        <v>5.1761145217935001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66.267845407570249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-3.979039320256561E-13</v>
      </c>
      <c r="BE144" s="14">
        <f>BD144*VLOOKUP('Données projet'!$B$11,Paramètres!$A$1:$I$89,3,0)*VLOOKUP('Données projet'!$B$11,Paramètres!$A$1:$I$89,5,0)</f>
        <v>-1.9139179130434059E-13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206.96327004330573</v>
      </c>
      <c r="BJ144" s="62">
        <f t="shared" si="146"/>
        <v>106.52590664430284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81.140916089095001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1.3196333125536539E-5</v>
      </c>
      <c r="BS144" s="24">
        <f t="shared" si="117"/>
        <v>81.140929285428129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6.3550942286383367E-14</v>
      </c>
      <c r="P145" s="14">
        <f t="shared" si="141"/>
        <v>1.0064464192543978E-12</v>
      </c>
      <c r="Q145" s="22">
        <f t="shared" si="108"/>
        <v>1.8635787380168604E-12</v>
      </c>
      <c r="R145" s="62">
        <f t="shared" si="109"/>
        <v>293.33333333333519</v>
      </c>
      <c r="S145" s="62">
        <f ca="1">AVERAGE(OFFSET($R$3,0,0,'Données projet'!$E$9+1,1))-AVERAGE(OFFSET($H$3,0,0,'Données projet'!$E$9+1,1))</f>
        <v>365.70510182727895</v>
      </c>
      <c r="T145" s="62">
        <f t="shared" si="142"/>
        <v>436.23833844962525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53.704600288713948</v>
      </c>
      <c r="AA145" s="23">
        <f>EXP(-LN(2)/25)*AA144+(1-EXP(-LN(2)/25))/(LN(2)/25)*Calculateur!V145*Calculateur!X145*VLOOKUP('Données projet'!$B$9,Paramètres!$A$1:$I$89,3,0)*0.475*44/12</f>
        <v>4.165575027735545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57.87017531644949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295.83974441964551</v>
      </c>
      <c r="AO145" s="62">
        <f t="shared" si="144"/>
        <v>212.24900914818096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59.89375930538317</v>
      </c>
      <c r="AV145" s="23">
        <f>EXP(-LN(2)/25)*AV144+(1-EXP(-LN(2)/25))/(LN(2)/25)*Calculateur!AQ145*Calculateur!AS145*VLOOKUP('Données projet'!$B$10,Paramètres!$A$1:$I$89,3,0)*0.475*44/12</f>
        <v>5.0345733979950245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64.928332703378189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-3.979039320256561E-13</v>
      </c>
      <c r="BE145" s="14">
        <f>BD145*VLOOKUP('Données projet'!$B$11,Paramètres!$A$1:$I$89,3,0)*VLOOKUP('Données projet'!$B$11,Paramètres!$A$1:$I$89,5,0)</f>
        <v>-1.9139179130434059E-13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206.96327004330573</v>
      </c>
      <c r="BJ145" s="62">
        <f t="shared" si="146"/>
        <v>106.52590664430284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79.549792215659821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9.3312166398635539E-6</v>
      </c>
      <c r="BS145" s="24">
        <f t="shared" si="117"/>
        <v>79.549801546876466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6.3550942286383367E-14</v>
      </c>
      <c r="P146" s="14">
        <f t="shared" si="141"/>
        <v>1.0064464192543978E-12</v>
      </c>
      <c r="Q146" s="22">
        <f t="shared" si="108"/>
        <v>1.8635787380168604E-12</v>
      </c>
      <c r="R146" s="62">
        <f t="shared" si="109"/>
        <v>293.33333333333519</v>
      </c>
      <c r="S146" s="62">
        <f ca="1">AVERAGE(OFFSET($R$3,0,0,'Données projet'!$E$9+1,1))-AVERAGE(OFFSET($H$3,0,0,'Données projet'!$E$9+1,1))</f>
        <v>365.70510182727895</v>
      </c>
      <c r="T146" s="62">
        <f t="shared" si="142"/>
        <v>436.23833844962525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52.651485833624001</v>
      </c>
      <c r="AA146" s="23">
        <f>EXP(-LN(2)/25)*AA145+(1-EXP(-LN(2)/25))/(LN(2)/25)*Calculateur!V146*Calculateur!X146*VLOOKUP('Données projet'!$B$9,Paramètres!$A$1:$I$89,3,0)*0.475*44/12</f>
        <v>4.0516671595440465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56.703152993168047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295.83974441964551</v>
      </c>
      <c r="AO146" s="62">
        <f t="shared" si="144"/>
        <v>212.24900914818096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58.719279216990586</v>
      </c>
      <c r="AV146" s="23">
        <f>EXP(-LN(2)/25)*AV145+(1-EXP(-LN(2)/25))/(LN(2)/25)*Calculateur!AQ146*Calculateur!AS146*VLOOKUP('Données projet'!$B$10,Paramètres!$A$1:$I$89,3,0)*0.475*44/12</f>
        <v>4.8969027236701423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63.616181940660731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-3.979039320256561E-13</v>
      </c>
      <c r="BE146" s="14">
        <f>BD146*VLOOKUP('Données projet'!$B$11,Paramètres!$A$1:$I$89,3,0)*VLOOKUP('Données projet'!$B$11,Paramètres!$A$1:$I$89,5,0)</f>
        <v>-1.9139179130434059E-13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206.96327004330573</v>
      </c>
      <c r="BJ146" s="62">
        <f t="shared" si="146"/>
        <v>106.52590664430284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77.989869310892971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6.5981665627682693E-6</v>
      </c>
      <c r="BS146" s="24">
        <f t="shared" si="117"/>
        <v>77.989875909059535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6.3550942286383367E-14</v>
      </c>
      <c r="P147" s="14">
        <f t="shared" si="141"/>
        <v>1.0064464192543978E-12</v>
      </c>
      <c r="Q147" s="22">
        <f t="shared" si="108"/>
        <v>1.8635787380168604E-12</v>
      </c>
      <c r="R147" s="62">
        <f t="shared" si="109"/>
        <v>293.33333333333519</v>
      </c>
      <c r="S147" s="62">
        <f ca="1">AVERAGE(OFFSET($R$3,0,0,'Données projet'!$E$9+1,1))-AVERAGE(OFFSET($H$3,0,0,'Données projet'!$E$9+1,1))</f>
        <v>365.70510182727895</v>
      </c>
      <c r="T147" s="62">
        <f t="shared" si="142"/>
        <v>436.23833844962525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51.619022310661975</v>
      </c>
      <c r="AA147" s="23">
        <f>EXP(-LN(2)/25)*AA146+(1-EXP(-LN(2)/25))/(LN(2)/25)*Calculateur!V147*Calculateur!X147*VLOOKUP('Données projet'!$B$9,Paramètres!$A$1:$I$89,3,0)*0.475*44/12</f>
        <v>3.9408741079983991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55.559896418660372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295.83974441964551</v>
      </c>
      <c r="AO147" s="62">
        <f t="shared" si="144"/>
        <v>212.24900914818096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57.56782996676926</v>
      </c>
      <c r="AV147" s="23">
        <f>EXP(-LN(2)/25)*AV146+(1-EXP(-LN(2)/25))/(LN(2)/25)*Calculateur!AQ147*Calculateur!AS147*VLOOKUP('Données projet'!$B$10,Paramètres!$A$1:$I$89,3,0)*0.475*44/12</f>
        <v>4.7629966611744603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62.330826627943722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-3.979039320256561E-13</v>
      </c>
      <c r="BE147" s="14">
        <f>BD147*VLOOKUP('Données projet'!$B$11,Paramètres!$A$1:$I$89,3,0)*VLOOKUP('Données projet'!$B$11,Paramètres!$A$1:$I$89,5,0)</f>
        <v>-1.9139179130434059E-13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206.96327004330573</v>
      </c>
      <c r="BJ147" s="62">
        <f t="shared" si="146"/>
        <v>106.52590664430284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76.460535542829575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4.665608319931777E-6</v>
      </c>
      <c r="BS147" s="24">
        <f t="shared" si="117"/>
        <v>76.460540208437891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6.3550942286383367E-14</v>
      </c>
      <c r="P148" s="14">
        <f t="shared" si="141"/>
        <v>1.0064464192543978E-12</v>
      </c>
      <c r="Q148" s="22">
        <f t="shared" si="108"/>
        <v>1.8635787380168604E-12</v>
      </c>
      <c r="R148" s="62">
        <f t="shared" si="109"/>
        <v>293.33333333333519</v>
      </c>
      <c r="S148" s="62">
        <f ca="1">AVERAGE(OFFSET($R$3,0,0,'Données projet'!$E$9+1,1))-AVERAGE(OFFSET($H$3,0,0,'Données projet'!$E$9+1,1))</f>
        <v>365.70510182727895</v>
      </c>
      <c r="T148" s="62">
        <f t="shared" si="142"/>
        <v>436.23833844962525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50.606804767644668</v>
      </c>
      <c r="AA148" s="23">
        <f>EXP(-LN(2)/25)*AA147+(1-EXP(-LN(2)/25))/(LN(2)/25)*Calculateur!V148*Calculateur!X148*VLOOKUP('Données projet'!$B$9,Paramètres!$A$1:$I$89,3,0)*0.475*44/12</f>
        <v>3.8331106982736207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54.43991546591829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295.83974441964551</v>
      </c>
      <c r="AO148" s="62">
        <f t="shared" si="144"/>
        <v>212.24900914818096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56.43895993403008</v>
      </c>
      <c r="AV148" s="23">
        <f>EXP(-LN(2)/25)*AV147+(1-EXP(-LN(2)/25))/(LN(2)/25)*Calculateur!AQ148*Calculateur!AS148*VLOOKUP('Données projet'!$B$10,Paramètres!$A$1:$I$89,3,0)*0.475*44/12</f>
        <v>4.6327522669995362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61.071712201029619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-3.979039320256561E-13</v>
      </c>
      <c r="BE148" s="14">
        <f>BD148*VLOOKUP('Données projet'!$B$11,Paramètres!$A$1:$I$89,3,0)*VLOOKUP('Données projet'!$B$11,Paramètres!$A$1:$I$89,5,0)</f>
        <v>-1.9139179130434059E-13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206.96327004330573</v>
      </c>
      <c r="BJ148" s="62">
        <f t="shared" si="146"/>
        <v>106.52590664430284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74.961191077156414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3.2990832813841346E-6</v>
      </c>
      <c r="BS148" s="24">
        <f t="shared" si="117"/>
        <v>74.961194376239689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6.3550942286383367E-14</v>
      </c>
      <c r="P149" s="14">
        <f t="shared" si="141"/>
        <v>1.0064464192543978E-12</v>
      </c>
      <c r="Q149" s="22">
        <f t="shared" si="108"/>
        <v>1.8635787380168604E-12</v>
      </c>
      <c r="R149" s="62">
        <f t="shared" si="109"/>
        <v>293.33333333333519</v>
      </c>
      <c r="S149" s="62">
        <f ca="1">AVERAGE(OFFSET($R$3,0,0,'Données projet'!$E$9+1,1))-AVERAGE(OFFSET($H$3,0,0,'Données projet'!$E$9+1,1))</f>
        <v>365.70510182727895</v>
      </c>
      <c r="T149" s="62">
        <f t="shared" si="142"/>
        <v>436.23833844962525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49.614436193254193</v>
      </c>
      <c r="AA149" s="23">
        <f>EXP(-LN(2)/25)*AA148+(1-EXP(-LN(2)/25))/(LN(2)/25)*Calculateur!V149*Calculateur!X149*VLOOKUP('Données projet'!$B$9,Paramètres!$A$1:$I$89,3,0)*0.475*44/12</f>
        <v>3.7282940846547978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53.342730277908991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295.83974441964551</v>
      </c>
      <c r="AO149" s="62">
        <f t="shared" si="144"/>
        <v>212.24900914818096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55.332226354090189</v>
      </c>
      <c r="AV149" s="23">
        <f>EXP(-LN(2)/25)*AV148+(1-EXP(-LN(2)/25))/(LN(2)/25)*Calculateur!AQ149*Calculateur!AS149*VLOOKUP('Données projet'!$B$10,Paramètres!$A$1:$I$89,3,0)*0.475*44/12</f>
        <v>4.5060694126325807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59.838295766722766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-3.979039320256561E-13</v>
      </c>
      <c r="BE149" s="14">
        <f>BD149*VLOOKUP('Données projet'!$B$11,Paramètres!$A$1:$I$89,3,0)*VLOOKUP('Données projet'!$B$11,Paramètres!$A$1:$I$89,5,0)</f>
        <v>-1.9139179130434059E-13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206.96327004330573</v>
      </c>
      <c r="BJ149" s="62">
        <f t="shared" si="146"/>
        <v>106.52590664430284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73.491247841945281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2.3328041599658885E-6</v>
      </c>
      <c r="BS149" s="24">
        <f t="shared" si="117"/>
        <v>73.491250174749439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6.3550942286383367E-14</v>
      </c>
      <c r="P150" s="14">
        <f t="shared" si="141"/>
        <v>1.0064464192543978E-12</v>
      </c>
      <c r="Q150" s="22">
        <f t="shared" si="108"/>
        <v>1.8635787380168604E-12</v>
      </c>
      <c r="R150" s="62">
        <f t="shared" si="109"/>
        <v>293.33333333333519</v>
      </c>
      <c r="S150" s="62">
        <f ca="1">AVERAGE(OFFSET($R$3,0,0,'Données projet'!$E$9+1,1))-AVERAGE(OFFSET($H$3,0,0,'Données projet'!$E$9+1,1))</f>
        <v>365.70510182727895</v>
      </c>
      <c r="T150" s="62">
        <f t="shared" si="142"/>
        <v>436.23833844962525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48.641527361322453</v>
      </c>
      <c r="AA150" s="23">
        <f>EXP(-LN(2)/25)*AA149+(1-EXP(-LN(2)/25))/(LN(2)/25)*Calculateur!V150*Calculateur!X150*VLOOKUP('Données projet'!$B$9,Paramètres!$A$1:$I$89,3,0)*0.475*44/12</f>
        <v>3.6263436868474477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52.267871048169901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295.83974441964551</v>
      </c>
      <c r="AO150" s="62">
        <f t="shared" si="144"/>
        <v>212.24900914818096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54.247195144612085</v>
      </c>
      <c r="AV150" s="23">
        <f>EXP(-LN(2)/25)*AV149+(1-EXP(-LN(2)/25))/(LN(2)/25)*Calculateur!AQ150*Calculateur!AS150*VLOOKUP('Données projet'!$B$10,Paramètres!$A$1:$I$89,3,0)*0.475*44/12</f>
        <v>4.3828507075802507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58.630045852192339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-3.979039320256561E-13</v>
      </c>
      <c r="BE150" s="14">
        <f>BD150*VLOOKUP('Données projet'!$B$11,Paramètres!$A$1:$I$89,3,0)*VLOOKUP('Données projet'!$B$11,Paramètres!$A$1:$I$89,5,0)</f>
        <v>-1.9139179130434059E-13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206.96327004330573</v>
      </c>
      <c r="BJ150" s="62">
        <f t="shared" si="146"/>
        <v>106.52590664430284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72.050129296999799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1.6495416406920673E-6</v>
      </c>
      <c r="BS150" s="24">
        <f t="shared" si="117"/>
        <v>72.050130946541444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6.3550942286383367E-14</v>
      </c>
      <c r="P151" s="14">
        <f t="shared" si="141"/>
        <v>1.0064464192543978E-12</v>
      </c>
      <c r="Q151" s="22">
        <f t="shared" si="108"/>
        <v>1.8635787380168604E-12</v>
      </c>
      <c r="R151" s="62">
        <f t="shared" si="109"/>
        <v>293.33333333333519</v>
      </c>
      <c r="S151" s="62">
        <f ca="1">AVERAGE(OFFSET($R$3,0,0,'Données projet'!$E$9+1,1))-AVERAGE(OFFSET($H$3,0,0,'Données projet'!$E$9+1,1))</f>
        <v>365.70510182727895</v>
      </c>
      <c r="T151" s="62">
        <f t="shared" si="142"/>
        <v>436.23833844962525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47.687696678169097</v>
      </c>
      <c r="AA151" s="23">
        <f>EXP(-LN(2)/25)*AA150+(1-EXP(-LN(2)/25))/(LN(2)/25)*Calculateur!V151*Calculateur!X151*VLOOKUP('Données projet'!$B$9,Paramètres!$A$1:$I$89,3,0)*0.475*44/12</f>
        <v>3.5271811280294778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51.214877806198572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295.83974441964551</v>
      </c>
      <c r="AO151" s="62">
        <f t="shared" si="144"/>
        <v>212.24900914818096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53.183440735348157</v>
      </c>
      <c r="AV151" s="23">
        <f>EXP(-LN(2)/25)*AV150+(1-EXP(-LN(2)/25))/(LN(2)/25)*Calculateur!AQ151*Calculateur!AS151*VLOOKUP('Données projet'!$B$10,Paramètres!$A$1:$I$89,3,0)*0.475*44/12</f>
        <v>4.2630014244973671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57.446442159845525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-3.979039320256561E-13</v>
      </c>
      <c r="BE151" s="14">
        <f>BD151*VLOOKUP('Données projet'!$B$11,Paramètres!$A$1:$I$89,3,0)*VLOOKUP('Données projet'!$B$11,Paramètres!$A$1:$I$89,5,0)</f>
        <v>-1.9139179130434059E-13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206.96327004330573</v>
      </c>
      <c r="BJ151" s="62">
        <f t="shared" si="146"/>
        <v>106.52590664430284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70.63727020772518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1.1664020799829442E-6</v>
      </c>
      <c r="BS151" s="24">
        <f t="shared" si="117"/>
        <v>70.637271374127266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6.3550942286383367E-14</v>
      </c>
      <c r="P152" s="14">
        <f t="shared" si="141"/>
        <v>1.0064464192543978E-12</v>
      </c>
      <c r="Q152" s="22">
        <f t="shared" si="108"/>
        <v>1.8635787380168604E-12</v>
      </c>
      <c r="R152" s="62">
        <f t="shared" si="109"/>
        <v>293.33333333333519</v>
      </c>
      <c r="S152" s="62">
        <f ca="1">AVERAGE(OFFSET($R$3,0,0,'Données projet'!$E$9+1,1))-AVERAGE(OFFSET($H$3,0,0,'Données projet'!$E$9+1,1))</f>
        <v>365.70510182727895</v>
      </c>
      <c r="T152" s="62">
        <f t="shared" si="142"/>
        <v>436.23833844962525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46.752570032933107</v>
      </c>
      <c r="AA152" s="23">
        <f>EXP(-LN(2)/25)*AA151+(1-EXP(-LN(2)/25))/(LN(2)/25)*Calculateur!V152*Calculateur!X152*VLOOKUP('Données projet'!$B$9,Paramètres!$A$1:$I$89,3,0)*0.475*44/12</f>
        <v>3.4307301745971177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50.183300207530223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295.83974441964551</v>
      </c>
      <c r="AO152" s="62">
        <f t="shared" si="144"/>
        <v>212.24900914818096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52.140545901223774</v>
      </c>
      <c r="AV152" s="23">
        <f>EXP(-LN(2)/25)*AV151+(1-EXP(-LN(2)/25))/(LN(2)/25)*Calculateur!AQ152*Calculateur!AS152*VLOOKUP('Données projet'!$B$10,Paramètres!$A$1:$I$89,3,0)*0.475*44/12</f>
        <v>4.1464294263629853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56.286975327586759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-3.979039320256561E-13</v>
      </c>
      <c r="BE152" s="14">
        <f>BD152*VLOOKUP('Données projet'!$B$11,Paramètres!$A$1:$I$89,3,0)*VLOOKUP('Données projet'!$B$11,Paramètres!$A$1:$I$89,5,0)</f>
        <v>-1.9139179130434059E-13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206.96327004330573</v>
      </c>
      <c r="BJ152" s="62">
        <f t="shared" si="146"/>
        <v>106.52590664430284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69.252116423432284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8.2477082034603366E-7</v>
      </c>
      <c r="BS152" s="24">
        <f t="shared" si="117"/>
        <v>69.252117248203106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6.3550942286383367E-14</v>
      </c>
      <c r="P153" s="14">
        <f t="shared" si="141"/>
        <v>1.0064464192543978E-12</v>
      </c>
      <c r="Q153" s="22">
        <f t="shared" si="108"/>
        <v>1.8635787380168604E-12</v>
      </c>
      <c r="R153" s="62">
        <f t="shared" si="109"/>
        <v>293.33333333333519</v>
      </c>
      <c r="S153" s="62">
        <f ca="1">AVERAGE(OFFSET($R$3,0,0,'Données projet'!$E$9+1,1))-AVERAGE(OFFSET($H$3,0,0,'Données projet'!$E$9+1,1))</f>
        <v>365.70510182727895</v>
      </c>
      <c r="T153" s="62">
        <f t="shared" si="142"/>
        <v>436.23833844962525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45.835780650839261</v>
      </c>
      <c r="AA153" s="23">
        <f>EXP(-LN(2)/25)*AA152+(1-EXP(-LN(2)/25))/(LN(2)/25)*Calculateur!V153*Calculateur!X153*VLOOKUP('Données projet'!$B$9,Paramètres!$A$1:$I$89,3,0)*0.475*44/12</f>
        <v>3.3369166775585009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49.17269732839776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295.83974441964551</v>
      </c>
      <c r="AO153" s="62">
        <f t="shared" si="144"/>
        <v>212.24900914818096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51.118101598693528</v>
      </c>
      <c r="AV153" s="23">
        <f>EXP(-LN(2)/25)*AV152+(1-EXP(-LN(2)/25))/(LN(2)/25)*Calculateur!AQ153*Calculateur!AS153*VLOOKUP('Données projet'!$B$10,Paramètres!$A$1:$I$89,3,0)*0.475*44/12</f>
        <v>4.033045095647843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55.151146694341371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-3.979039320256561E-13</v>
      </c>
      <c r="BE153" s="14">
        <f>BD153*VLOOKUP('Données projet'!$B$11,Paramètres!$A$1:$I$89,3,0)*VLOOKUP('Données projet'!$B$11,Paramètres!$A$1:$I$89,5,0)</f>
        <v>-1.9139179130434059E-13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206.96327004330573</v>
      </c>
      <c r="BJ153" s="62">
        <f t="shared" si="146"/>
        <v>106.52590664430284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67.894124659988975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5.8320103999147212E-7</v>
      </c>
      <c r="BS153" s="24">
        <f t="shared" si="117"/>
        <v>67.894125243190018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6.3550942286383367E-14</v>
      </c>
      <c r="P154" s="14">
        <f t="shared" si="141"/>
        <v>1.0064464192543978E-12</v>
      </c>
      <c r="Q154" s="22">
        <f t="shared" ref="Q154:Q203" si="162">(O154+P154)*0.475*44/12</f>
        <v>1.8635787380168604E-12</v>
      </c>
      <c r="R154" s="62">
        <f t="shared" si="109"/>
        <v>293.33333333333519</v>
      </c>
      <c r="S154" s="62">
        <f ca="1">AVERAGE(OFFSET($R$3,0,0,'Données projet'!$E$9+1,1))-AVERAGE(OFFSET($H$3,0,0,'Données projet'!$E$9+1,1))</f>
        <v>365.70510182727895</v>
      </c>
      <c r="T154" s="62">
        <f t="shared" si="142"/>
        <v>436.23833844962525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44.936968949341967</v>
      </c>
      <c r="AA154" s="23">
        <f>EXP(-LN(2)/25)*AA153+(1-EXP(-LN(2)/25))/(LN(2)/25)*Calculateur!V154*Calculateur!X154*VLOOKUP('Données projet'!$B$9,Paramètres!$A$1:$I$89,3,0)*0.475*44/12</f>
        <v>3.2456685155298421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48.18263746487181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295.83974441964551</v>
      </c>
      <c r="AO154" s="62">
        <f t="shared" si="144"/>
        <v>212.24900914818096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50.115706805306459</v>
      </c>
      <c r="AV154" s="23">
        <f>EXP(-LN(2)/25)*AV153+(1-EXP(-LN(2)/25))/(LN(2)/25)*Calculateur!AQ154*Calculateur!AS154*VLOOKUP('Données projet'!$B$10,Paramètres!$A$1:$I$89,3,0)*0.475*44/12</f>
        <v>3.9227612654187287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54.038468070725187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-3.979039320256561E-13</v>
      </c>
      <c r="BE154" s="14">
        <f>BD154*VLOOKUP('Données projet'!$B$11,Paramètres!$A$1:$I$89,3,0)*VLOOKUP('Données projet'!$B$11,Paramètres!$A$1:$I$89,5,0)</f>
        <v>-1.9139179130434059E-13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206.96327004330573</v>
      </c>
      <c r="BJ154" s="62">
        <f t="shared" si="146"/>
        <v>106.52590664430284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66.562762286733602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4.1238541017301683E-7</v>
      </c>
      <c r="BS154" s="24">
        <f t="shared" ref="BS154:BS203" si="169">SUM(BP154:BR154)</f>
        <v>66.562762699119006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6.3550942286383367E-14</v>
      </c>
      <c r="P155" s="14">
        <f t="shared" si="141"/>
        <v>1.0064464192543978E-12</v>
      </c>
      <c r="Q155" s="22">
        <f t="shared" si="162"/>
        <v>1.8635787380168604E-12</v>
      </c>
      <c r="R155" s="62">
        <f t="shared" si="109"/>
        <v>293.33333333333519</v>
      </c>
      <c r="S155" s="62">
        <f ca="1">AVERAGE(OFFSET($R$3,0,0,'Données projet'!$E$9+1,1))-AVERAGE(OFFSET($H$3,0,0,'Données projet'!$E$9+1,1))</f>
        <v>365.70510182727895</v>
      </c>
      <c r="T155" s="62">
        <f t="shared" si="142"/>
        <v>436.23833844962525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44.055782397090034</v>
      </c>
      <c r="AA155" s="23">
        <f>EXP(-LN(2)/25)*AA154+(1-EXP(-LN(2)/25))/(LN(2)/25)*Calculateur!V155*Calculateur!X155*VLOOKUP('Données projet'!$B$9,Paramètres!$A$1:$I$89,3,0)*0.475*44/12</f>
        <v>3.1569155392903894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47.212697936380422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295.83974441964551</v>
      </c>
      <c r="AO155" s="62">
        <f t="shared" si="144"/>
        <v>212.24900914818096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49.132968362417252</v>
      </c>
      <c r="AV155" s="23">
        <f>EXP(-LN(2)/25)*AV154+(1-EXP(-LN(2)/25))/(LN(2)/25)*Calculateur!AQ155*Calculateur!AS155*VLOOKUP('Données projet'!$B$10,Paramètres!$A$1:$I$89,3,0)*0.475*44/12</f>
        <v>3.8154931523268041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52.948461514744054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-3.979039320256561E-13</v>
      </c>
      <c r="BE155" s="14">
        <f>BD155*VLOOKUP('Données projet'!$B$11,Paramètres!$A$1:$I$89,3,0)*VLOOKUP('Données projet'!$B$11,Paramètres!$A$1:$I$89,5,0)</f>
        <v>-1.9139179130434059E-13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206.96327004330573</v>
      </c>
      <c r="BJ155" s="62">
        <f t="shared" si="146"/>
        <v>106.52590664430284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65.257507117566902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2.9160051999573606E-7</v>
      </c>
      <c r="BS155" s="24">
        <f t="shared" si="169"/>
        <v>65.257507409167417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6.3550942286383367E-14</v>
      </c>
      <c r="P156" s="14">
        <f t="shared" si="141"/>
        <v>1.0064464192543978E-12</v>
      </c>
      <c r="Q156" s="22">
        <f t="shared" si="162"/>
        <v>1.8635787380168604E-12</v>
      </c>
      <c r="R156" s="62">
        <f t="shared" si="109"/>
        <v>293.33333333333519</v>
      </c>
      <c r="S156" s="62">
        <f ca="1">AVERAGE(OFFSET($R$3,0,0,'Données projet'!$E$9+1,1))-AVERAGE(OFFSET($H$3,0,0,'Données projet'!$E$9+1,1))</f>
        <v>365.70510182727895</v>
      </c>
      <c r="T156" s="62">
        <f t="shared" si="142"/>
        <v>436.23833844962525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43.191875375657034</v>
      </c>
      <c r="AA156" s="23">
        <f>EXP(-LN(2)/25)*AA155+(1-EXP(-LN(2)/25))/(LN(2)/25)*Calculateur!V156*Calculateur!X156*VLOOKUP('Données projet'!$B$9,Paramètres!$A$1:$I$89,3,0)*0.475*44/12</f>
        <v>3.0705895178535205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46.262464893510554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295.83974441964551</v>
      </c>
      <c r="AO156" s="62">
        <f t="shared" si="144"/>
        <v>212.24900914818096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48.169500820981838</v>
      </c>
      <c r="AV156" s="23">
        <f>EXP(-LN(2)/25)*AV155+(1-EXP(-LN(2)/25))/(LN(2)/25)*Calculateur!AQ156*Calculateur!AS156*VLOOKUP('Données projet'!$B$10,Paramètres!$A$1:$I$89,3,0)*0.475*44/12</f>
        <v>3.711158291428363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51.8806591124102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-3.979039320256561E-13</v>
      </c>
      <c r="BE156" s="14">
        <f>BD156*VLOOKUP('Données projet'!$B$11,Paramètres!$A$1:$I$89,3,0)*VLOOKUP('Données projet'!$B$11,Paramètres!$A$1:$I$89,5,0)</f>
        <v>-1.9139179130434059E-13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206.96327004330573</v>
      </c>
      <c r="BJ156" s="62">
        <f t="shared" si="146"/>
        <v>106.52590664430284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63.977847206140524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2.0619270508650842E-7</v>
      </c>
      <c r="BS156" s="24">
        <f t="shared" si="169"/>
        <v>63.977847412333226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6.3550942286383367E-14</v>
      </c>
      <c r="P157" s="14">
        <f t="shared" si="141"/>
        <v>1.0064464192543978E-12</v>
      </c>
      <c r="Q157" s="22">
        <f t="shared" si="162"/>
        <v>1.8635787380168604E-12</v>
      </c>
      <c r="R157" s="62">
        <f t="shared" si="109"/>
        <v>293.33333333333519</v>
      </c>
      <c r="S157" s="62">
        <f ca="1">AVERAGE(OFFSET($R$3,0,0,'Données projet'!$E$9+1,1))-AVERAGE(OFFSET($H$3,0,0,'Données projet'!$E$9+1,1))</f>
        <v>365.70510182727895</v>
      </c>
      <c r="T157" s="62">
        <f t="shared" si="142"/>
        <v>436.23833844962525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42.34490904398308</v>
      </c>
      <c r="AA157" s="23">
        <f>EXP(-LN(2)/25)*AA156+(1-EXP(-LN(2)/25))/(LN(2)/25)*Calculateur!V157*Calculateur!X157*VLOOKUP('Données projet'!$B$9,Paramètres!$A$1:$I$89,3,0)*0.475*44/12</f>
        <v>2.9866240860125313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45.331533129995613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295.83974441964551</v>
      </c>
      <c r="AO157" s="62">
        <f t="shared" si="144"/>
        <v>212.24900914818096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47.2249262903768</v>
      </c>
      <c r="AV157" s="23">
        <f>EXP(-LN(2)/25)*AV156+(1-EXP(-LN(2)/25))/(LN(2)/25)*Calculateur!AQ157*Calculateur!AS157*VLOOKUP('Données projet'!$B$10,Paramètres!$A$1:$I$89,3,0)*0.475*44/12</f>
        <v>3.6096764727879216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50.834602763164725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-3.979039320256561E-13</v>
      </c>
      <c r="BE157" s="14">
        <f>BD157*VLOOKUP('Données projet'!$B$11,Paramètres!$A$1:$I$89,3,0)*VLOOKUP('Données projet'!$B$11,Paramètres!$A$1:$I$89,5,0)</f>
        <v>-1.9139179130434059E-13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206.96327004330573</v>
      </c>
      <c r="BJ157" s="62">
        <f t="shared" si="146"/>
        <v>106.52590664430284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62.723280645061742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1.4580025999786803E-7</v>
      </c>
      <c r="BS157" s="24">
        <f t="shared" si="169"/>
        <v>62.723280790861999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6.3550942286383367E-14</v>
      </c>
      <c r="P158" s="14">
        <f t="shared" si="141"/>
        <v>1.0064464192543978E-12</v>
      </c>
      <c r="Q158" s="22">
        <f t="shared" si="162"/>
        <v>1.8635787380168604E-12</v>
      </c>
      <c r="R158" s="62">
        <f t="shared" si="109"/>
        <v>293.33333333333519</v>
      </c>
      <c r="S158" s="62">
        <f ca="1">AVERAGE(OFFSET($R$3,0,0,'Données projet'!$E$9+1,1))-AVERAGE(OFFSET($H$3,0,0,'Données projet'!$E$9+1,1))</f>
        <v>365.70510182727895</v>
      </c>
      <c r="T158" s="62">
        <f t="shared" si="142"/>
        <v>436.23833844962525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41.514551205474802</v>
      </c>
      <c r="AA158" s="23">
        <f>EXP(-LN(2)/25)*AA157+(1-EXP(-LN(2)/25))/(LN(2)/25)*Calculateur!V158*Calculateur!X158*VLOOKUP('Données projet'!$B$9,Paramètres!$A$1:$I$89,3,0)*0.475*44/12</f>
        <v>2.9049546933207839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44.419505898795585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295.83974441964551</v>
      </c>
      <c r="AO158" s="62">
        <f t="shared" si="144"/>
        <v>212.24900914818096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46.298874290183356</v>
      </c>
      <c r="AV158" s="23">
        <f>EXP(-LN(2)/25)*AV157+(1-EXP(-LN(2)/25))/(LN(2)/25)*Calculateur!AQ158*Calculateur!AS158*VLOOKUP('Données projet'!$B$10,Paramètres!$A$1:$I$89,3,0)*0.475*44/12</f>
        <v>3.5109696798149002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49.809843969998255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-3.979039320256561E-13</v>
      </c>
      <c r="BE158" s="14">
        <f>BD158*VLOOKUP('Données projet'!$B$11,Paramètres!$A$1:$I$89,3,0)*VLOOKUP('Données projet'!$B$11,Paramètres!$A$1:$I$89,5,0)</f>
        <v>-1.9139179130434059E-13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206.96327004330573</v>
      </c>
      <c r="BJ158" s="62">
        <f t="shared" si="146"/>
        <v>106.52590664430284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61.49331536903567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1.0309635254325421E-7</v>
      </c>
      <c r="BS158" s="24">
        <f t="shared" si="169"/>
        <v>61.493315472132025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6.3550942286383367E-14</v>
      </c>
      <c r="P159" s="14">
        <f t="shared" si="141"/>
        <v>1.0064464192543978E-12</v>
      </c>
      <c r="Q159" s="22">
        <f t="shared" si="162"/>
        <v>1.8635787380168604E-12</v>
      </c>
      <c r="R159" s="62">
        <f t="shared" si="109"/>
        <v>293.33333333333519</v>
      </c>
      <c r="S159" s="62">
        <f ca="1">AVERAGE(OFFSET($R$3,0,0,'Données projet'!$E$9+1,1))-AVERAGE(OFFSET($H$3,0,0,'Données projet'!$E$9+1,1))</f>
        <v>365.70510182727895</v>
      </c>
      <c r="T159" s="62">
        <f t="shared" si="142"/>
        <v>436.23833844962525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40.700476177711401</v>
      </c>
      <c r="AA159" s="23">
        <f>EXP(-LN(2)/25)*AA158+(1-EXP(-LN(2)/25))/(LN(2)/25)*Calculateur!V159*Calculateur!X159*VLOOKUP('Données projet'!$B$9,Paramètres!$A$1:$I$89,3,0)*0.475*44/12</f>
        <v>2.8255185544669992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43.525994732178404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295.83974441964551</v>
      </c>
      <c r="AO159" s="62">
        <f t="shared" si="144"/>
        <v>212.24900914818096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45.390981604877759</v>
      </c>
      <c r="AV159" s="23">
        <f>EXP(-LN(2)/25)*AV158+(1-EXP(-LN(2)/25))/(LN(2)/25)*Calculateur!AQ159*Calculateur!AS159*VLOOKUP('Données projet'!$B$10,Paramètres!$A$1:$I$89,3,0)*0.475*44/12</f>
        <v>3.4149620292864906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48.805943634164251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-3.979039320256561E-13</v>
      </c>
      <c r="BE159" s="14">
        <f>BD159*VLOOKUP('Données projet'!$B$11,Paramètres!$A$1:$I$89,3,0)*VLOOKUP('Données projet'!$B$11,Paramètres!$A$1:$I$89,5,0)</f>
        <v>-1.9139179130434059E-13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206.96327004330573</v>
      </c>
      <c r="BJ159" s="62">
        <f t="shared" si="146"/>
        <v>106.52590664430284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60.287468961867724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7.2900129998934015E-8</v>
      </c>
      <c r="BS159" s="24">
        <f t="shared" si="169"/>
        <v>60.287469034767852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6.3550942286383367E-14</v>
      </c>
      <c r="P160" s="14">
        <f t="shared" si="141"/>
        <v>1.0064464192543978E-12</v>
      </c>
      <c r="Q160" s="22">
        <f t="shared" si="162"/>
        <v>1.8635787380168604E-12</v>
      </c>
      <c r="R160" s="62">
        <f t="shared" si="109"/>
        <v>293.33333333333519</v>
      </c>
      <c r="S160" s="62">
        <f ca="1">AVERAGE(OFFSET($R$3,0,0,'Données projet'!$E$9+1,1))-AVERAGE(OFFSET($H$3,0,0,'Données projet'!$E$9+1,1))</f>
        <v>365.70510182727895</v>
      </c>
      <c r="T160" s="62">
        <f t="shared" si="142"/>
        <v>436.23833844962525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39.902364664705701</v>
      </c>
      <c r="AA160" s="23">
        <f>EXP(-LN(2)/25)*AA159+(1-EXP(-LN(2)/25))/(LN(2)/25)*Calculateur!V160*Calculateur!X160*VLOOKUP('Données projet'!$B$9,Paramètres!$A$1:$I$89,3,0)*0.475*44/12</f>
        <v>2.7482546010075359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42.650619265713239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295.83974441964551</v>
      </c>
      <c r="AO160" s="62">
        <f t="shared" si="144"/>
        <v>212.24900914818096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44.500892141371139</v>
      </c>
      <c r="AV160" s="23">
        <f>EXP(-LN(2)/25)*AV159+(1-EXP(-LN(2)/25))/(LN(2)/25)*Calculateur!AQ160*Calculateur!AS160*VLOOKUP('Données projet'!$B$10,Paramètres!$A$1:$I$89,3,0)*0.475*44/12</f>
        <v>3.3215797130106033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47.822471854381746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-3.979039320256561E-13</v>
      </c>
      <c r="BE160" s="14">
        <f>BD160*VLOOKUP('Données projet'!$B$11,Paramètres!$A$1:$I$89,3,0)*VLOOKUP('Données projet'!$B$11,Paramètres!$A$1:$I$89,5,0)</f>
        <v>-1.9139179130434059E-13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206.96327004330573</v>
      </c>
      <c r="BJ160" s="62">
        <f t="shared" si="146"/>
        <v>106.52590664430284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59.10526846725066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5.1548176271627104E-8</v>
      </c>
      <c r="BS160" s="24">
        <f t="shared" si="169"/>
        <v>59.105268518798837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6.3550942286383367E-14</v>
      </c>
      <c r="P161" s="14">
        <f t="shared" si="141"/>
        <v>1.0064464192543978E-12</v>
      </c>
      <c r="Q161" s="22">
        <f t="shared" si="162"/>
        <v>1.8635787380168604E-12</v>
      </c>
      <c r="R161" s="62">
        <f t="shared" si="109"/>
        <v>293.33333333333519</v>
      </c>
      <c r="S161" s="62">
        <f ca="1">AVERAGE(OFFSET($R$3,0,0,'Données projet'!$E$9+1,1))-AVERAGE(OFFSET($H$3,0,0,'Données projet'!$E$9+1,1))</f>
        <v>365.70510182727895</v>
      </c>
      <c r="T161" s="62">
        <f t="shared" si="142"/>
        <v>436.23833844962525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39.119903631670084</v>
      </c>
      <c r="AA161" s="23">
        <f>EXP(-LN(2)/25)*AA160+(1-EXP(-LN(2)/25))/(LN(2)/25)*Calculateur!V161*Calculateur!X161*VLOOKUP('Données projet'!$B$9,Paramètres!$A$1:$I$89,3,0)*0.475*44/12</f>
        <v>2.6731034344185565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41.793007066088641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295.83974441964551</v>
      </c>
      <c r="AO161" s="62">
        <f t="shared" si="144"/>
        <v>212.24900914818096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43.62825678934292</v>
      </c>
      <c r="AV161" s="23">
        <f>EXP(-LN(2)/25)*AV160+(1-EXP(-LN(2)/25))/(LN(2)/25)*Calculateur!AQ161*Calculateur!AS161*VLOOKUP('Données projet'!$B$10,Paramètres!$A$1:$I$89,3,0)*0.475*44/12</f>
        <v>3.2307509410840427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46.85900773042696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-3.979039320256561E-13</v>
      </c>
      <c r="BE161" s="14">
        <f>BD161*VLOOKUP('Données projet'!$B$11,Paramètres!$A$1:$I$89,3,0)*VLOOKUP('Données projet'!$B$11,Paramètres!$A$1:$I$89,5,0)</f>
        <v>-1.9139179130434059E-13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206.96327004330573</v>
      </c>
      <c r="BJ161" s="62">
        <f t="shared" si="146"/>
        <v>106.52590664430284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57.946250203261933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3.6450064999467008E-8</v>
      </c>
      <c r="BS161" s="24">
        <f t="shared" si="169"/>
        <v>57.946250239712001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6.3550942286383367E-14</v>
      </c>
      <c r="P162" s="14">
        <f t="shared" si="141"/>
        <v>1.0064464192543978E-12</v>
      </c>
      <c r="Q162" s="22">
        <f t="shared" si="162"/>
        <v>1.8635787380168604E-12</v>
      </c>
      <c r="R162" s="62">
        <f t="shared" si="109"/>
        <v>293.33333333333519</v>
      </c>
      <c r="S162" s="62">
        <f ca="1">AVERAGE(OFFSET($R$3,0,0,'Données projet'!$E$9+1,1))-AVERAGE(OFFSET($H$3,0,0,'Données projet'!$E$9+1,1))</f>
        <v>365.70510182727895</v>
      </c>
      <c r="T162" s="62">
        <f t="shared" si="142"/>
        <v>436.23833844962525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38.352786182238191</v>
      </c>
      <c r="AA162" s="23">
        <f>EXP(-LN(2)/25)*AA161+(1-EXP(-LN(2)/25))/(LN(2)/25)*Calculateur!V162*Calculateur!X162*VLOOKUP('Données projet'!$B$9,Paramètres!$A$1:$I$89,3,0)*0.475*44/12</f>
        <v>2.6000072804319809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40.952793462670172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295.83974441964551</v>
      </c>
      <c r="AO162" s="62">
        <f t="shared" si="144"/>
        <v>212.24900914818096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42.77273328431297</v>
      </c>
      <c r="AV162" s="23">
        <f>EXP(-LN(2)/25)*AV161+(1-EXP(-LN(2)/25))/(LN(2)/25)*Calculateur!AQ162*Calculateur!AS162*VLOOKUP('Données projet'!$B$10,Paramètres!$A$1:$I$89,3,0)*0.475*44/12</f>
        <v>3.1424058867022917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45.915139171015262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-3.979039320256561E-13</v>
      </c>
      <c r="BE162" s="14">
        <f>BD162*VLOOKUP('Données projet'!$B$11,Paramètres!$A$1:$I$89,3,0)*VLOOKUP('Données projet'!$B$11,Paramètres!$A$1:$I$89,5,0)</f>
        <v>-1.9139179130434059E-13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206.96327004330573</v>
      </c>
      <c r="BJ162" s="62">
        <f t="shared" si="146"/>
        <v>106.52590664430284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56.809959580498685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2.5774088135813552E-8</v>
      </c>
      <c r="BS162" s="24">
        <f t="shared" si="169"/>
        <v>56.80995960627277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6.3550942286383367E-14</v>
      </c>
      <c r="P163" s="14">
        <f t="shared" si="141"/>
        <v>1.0064464192543978E-12</v>
      </c>
      <c r="Q163" s="22">
        <f t="shared" si="162"/>
        <v>1.8635787380168604E-12</v>
      </c>
      <c r="R163" s="62">
        <f t="shared" si="109"/>
        <v>293.33333333333519</v>
      </c>
      <c r="S163" s="62">
        <f ca="1">AVERAGE(OFFSET($R$3,0,0,'Données projet'!$E$9+1,1))-AVERAGE(OFFSET($H$3,0,0,'Données projet'!$E$9+1,1))</f>
        <v>365.70510182727895</v>
      </c>
      <c r="T163" s="62">
        <f t="shared" si="142"/>
        <v>436.23833844962525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37.600711438094216</v>
      </c>
      <c r="AA163" s="23">
        <f>EXP(-LN(2)/25)*AA162+(1-EXP(-LN(2)/25))/(LN(2)/25)*Calculateur!V163*Calculateur!X163*VLOOKUP('Données projet'!$B$9,Paramètres!$A$1:$I$89,3,0)*0.475*44/12</f>
        <v>2.528909944620128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40.12962138271434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295.83974441964551</v>
      </c>
      <c r="AO163" s="62">
        <f t="shared" si="144"/>
        <v>212.24900914818096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41.933986073398842</v>
      </c>
      <c r="AV163" s="23">
        <f>EXP(-LN(2)/25)*AV162+(1-EXP(-LN(2)/25))/(LN(2)/25)*Calculateur!AQ163*Calculateur!AS163*VLOOKUP('Données projet'!$B$10,Paramètres!$A$1:$I$89,3,0)*0.475*44/12</f>
        <v>3.056476632478474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44.990462705877313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-3.979039320256561E-13</v>
      </c>
      <c r="BE163" s="14">
        <f>BD163*VLOOKUP('Données projet'!$B$11,Paramètres!$A$1:$I$89,3,0)*VLOOKUP('Données projet'!$B$11,Paramètres!$A$1:$I$89,5,0)</f>
        <v>-1.9139179130434059E-13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206.96327004330573</v>
      </c>
      <c r="BJ163" s="62">
        <f t="shared" si="146"/>
        <v>106.52590664430284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55.69595092377898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1.8225032499733504E-8</v>
      </c>
      <c r="BS163" s="24">
        <f t="shared" si="169"/>
        <v>55.695950942004011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6.3550942286383367E-14</v>
      </c>
      <c r="P164" s="14">
        <f t="shared" si="141"/>
        <v>1.0064464192543978E-12</v>
      </c>
      <c r="Q164" s="22">
        <f t="shared" si="162"/>
        <v>1.8635787380168604E-12</v>
      </c>
      <c r="R164" s="62">
        <f t="shared" si="109"/>
        <v>293.33333333333519</v>
      </c>
      <c r="S164" s="62">
        <f ca="1">AVERAGE(OFFSET($R$3,0,0,'Données projet'!$E$9+1,1))-AVERAGE(OFFSET($H$3,0,0,'Données projet'!$E$9+1,1))</f>
        <v>365.70510182727895</v>
      </c>
      <c r="T164" s="62">
        <f t="shared" si="142"/>
        <v>436.23833844962525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36.863384420962603</v>
      </c>
      <c r="AA164" s="23">
        <f>EXP(-LN(2)/25)*AA163+(1-EXP(-LN(2)/25))/(LN(2)/25)*Calculateur!V164*Calculateur!X164*VLOOKUP('Données projet'!$B$9,Paramètres!$A$1:$I$89,3,0)*0.475*44/12</f>
        <v>2.4597567691948963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39.3231411901575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295.83974441964551</v>
      </c>
      <c r="AO164" s="62">
        <f t="shared" si="144"/>
        <v>212.24900914818096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41.111686183705459</v>
      </c>
      <c r="AV164" s="23">
        <f>EXP(-LN(2)/25)*AV163+(1-EXP(-LN(2)/25))/(LN(2)/25)*Calculateur!AQ164*Calculateur!AS164*VLOOKUP('Données projet'!$B$10,Paramètres!$A$1:$I$89,3,0)*0.475*44/12</f>
        <v>2.9728971182302297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44.084583301935687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-3.979039320256561E-13</v>
      </c>
      <c r="BE164" s="14">
        <f>BD164*VLOOKUP('Données projet'!$B$11,Paramètres!$A$1:$I$89,3,0)*VLOOKUP('Données projet'!$B$11,Paramètres!$A$1:$I$89,5,0)</f>
        <v>-1.9139179130434059E-13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206.96327004330573</v>
      </c>
      <c r="BJ164" s="62">
        <f t="shared" si="146"/>
        <v>106.52590664430284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54.603787297339366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1.2887044067906776E-8</v>
      </c>
      <c r="BS164" s="24">
        <f t="shared" si="169"/>
        <v>54.603787310226409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6.3550942286383367E-14</v>
      </c>
      <c r="P165" s="14">
        <f t="shared" si="141"/>
        <v>1.0064464192543978E-12</v>
      </c>
      <c r="Q165" s="22">
        <f t="shared" si="162"/>
        <v>1.8635787380168604E-12</v>
      </c>
      <c r="R165" s="62">
        <f t="shared" si="109"/>
        <v>293.33333333333519</v>
      </c>
      <c r="S165" s="62">
        <f ca="1">AVERAGE(OFFSET($R$3,0,0,'Données projet'!$E$9+1,1))-AVERAGE(OFFSET($H$3,0,0,'Données projet'!$E$9+1,1))</f>
        <v>365.70510182727895</v>
      </c>
      <c r="T165" s="62">
        <f t="shared" si="142"/>
        <v>436.23833844962525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36.140515936911868</v>
      </c>
      <c r="AA165" s="23">
        <f>EXP(-LN(2)/25)*AA164+(1-EXP(-LN(2)/25))/(LN(2)/25)*Calculateur!V165*Calculateur!X165*VLOOKUP('Données projet'!$B$9,Paramètres!$A$1:$I$89,3,0)*0.475*44/12</f>
        <v>2.3924945909882753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38.533010527900146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295.83974441964551</v>
      </c>
      <c r="AO165" s="62">
        <f t="shared" si="144"/>
        <v>212.24900914818096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40.30551109329555</v>
      </c>
      <c r="AV165" s="23">
        <f>EXP(-LN(2)/25)*AV164+(1-EXP(-LN(2)/25))/(LN(2)/25)*Calculateur!AQ165*Calculateur!AS165*VLOOKUP('Données projet'!$B$10,Paramètres!$A$1:$I$89,3,0)*0.475*44/12</f>
        <v>2.8916030901943595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43.197114183489909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-3.979039320256561E-13</v>
      </c>
      <c r="BE165" s="14">
        <f>BD165*VLOOKUP('Données projet'!$B$11,Paramètres!$A$1:$I$89,3,0)*VLOOKUP('Données projet'!$B$11,Paramètres!$A$1:$I$89,5,0)</f>
        <v>-1.9139179130434059E-13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206.96327004330573</v>
      </c>
      <c r="BJ165" s="62">
        <f t="shared" si="146"/>
        <v>106.52590664430284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53.533040333460193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9.1125162498667519E-9</v>
      </c>
      <c r="BS165" s="24">
        <f t="shared" si="169"/>
        <v>53.533040342572711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6.3550942286383367E-14</v>
      </c>
      <c r="P166" s="14">
        <f t="shared" si="141"/>
        <v>1.0064464192543978E-12</v>
      </c>
      <c r="Q166" s="22">
        <f t="shared" si="162"/>
        <v>1.8635787380168604E-12</v>
      </c>
      <c r="R166" s="62">
        <f t="shared" si="109"/>
        <v>293.33333333333519</v>
      </c>
      <c r="S166" s="62">
        <f ca="1">AVERAGE(OFFSET($R$3,0,0,'Données projet'!$E$9+1,1))-AVERAGE(OFFSET($H$3,0,0,'Données projet'!$E$9+1,1))</f>
        <v>365.70510182727895</v>
      </c>
      <c r="T166" s="62">
        <f t="shared" si="142"/>
        <v>436.23833844962525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35.43182246292713</v>
      </c>
      <c r="AA166" s="23">
        <f>EXP(-LN(2)/25)*AA165+(1-EXP(-LN(2)/25))/(LN(2)/25)*Calculateur!V166*Calculateur!X166*VLOOKUP('Données projet'!$B$9,Paramètres!$A$1:$I$89,3,0)*0.475*44/12</f>
        <v>2.3270717005818784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37.758894163509005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295.83974441964551</v>
      </c>
      <c r="AO166" s="62">
        <f t="shared" si="144"/>
        <v>212.24900914818096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39.515144604690327</v>
      </c>
      <c r="AV166" s="23">
        <f>EXP(-LN(2)/25)*AV165+(1-EXP(-LN(2)/25))/(LN(2)/25)*Calculateur!AQ166*Calculateur!AS166*VLOOKUP('Données projet'!$B$10,Paramètres!$A$1:$I$89,3,0)*0.475*44/12</f>
        <v>2.812532051630197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42.327676656320527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-3.979039320256561E-13</v>
      </c>
      <c r="BE166" s="14">
        <f>BD166*VLOOKUP('Données projet'!$B$11,Paramètres!$A$1:$I$89,3,0)*VLOOKUP('Données projet'!$B$11,Paramètres!$A$1:$I$89,5,0)</f>
        <v>-1.9139179130434059E-13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206.96327004330573</v>
      </c>
      <c r="BJ166" s="62">
        <f t="shared" si="146"/>
        <v>106.52590664430284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52.483290064451531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6.443522033953388E-9</v>
      </c>
      <c r="BS166" s="24">
        <f t="shared" si="169"/>
        <v>52.483290070895052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6.3550942286383367E-14</v>
      </c>
      <c r="P167" s="14">
        <f t="shared" si="141"/>
        <v>1.0064464192543978E-12</v>
      </c>
      <c r="Q167" s="22">
        <f t="shared" si="162"/>
        <v>1.8635787380168604E-12</v>
      </c>
      <c r="R167" s="62">
        <f t="shared" si="109"/>
        <v>293.33333333333519</v>
      </c>
      <c r="S167" s="62">
        <f ca="1">AVERAGE(OFFSET($R$3,0,0,'Données projet'!$E$9+1,1))-AVERAGE(OFFSET($H$3,0,0,'Données projet'!$E$9+1,1))</f>
        <v>365.70510182727895</v>
      </c>
      <c r="T167" s="62">
        <f t="shared" si="142"/>
        <v>436.23833844962525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34.737026035706897</v>
      </c>
      <c r="AA167" s="23">
        <f>EXP(-LN(2)/25)*AA166+(1-EXP(-LN(2)/25))/(LN(2)/25)*Calculateur!V167*Calculateur!X167*VLOOKUP('Données projet'!$B$9,Paramètres!$A$1:$I$89,3,0)*0.475*44/12</f>
        <v>2.2634378025540847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37.000463838260984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295.83974441964551</v>
      </c>
      <c r="AO167" s="62">
        <f t="shared" si="144"/>
        <v>212.24900914818096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38.740276720850702</v>
      </c>
      <c r="AV167" s="23">
        <f>EXP(-LN(2)/25)*AV166+(1-EXP(-LN(2)/25))/(LN(2)/25)*Calculateur!AQ167*Calculateur!AS167*VLOOKUP('Données projet'!$B$10,Paramètres!$A$1:$I$89,3,0)*0.475*44/12</f>
        <v>2.7356232147737369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41.47589993562444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-3.979039320256561E-13</v>
      </c>
      <c r="BE167" s="14">
        <f>BD167*VLOOKUP('Données projet'!$B$11,Paramètres!$A$1:$I$89,3,0)*VLOOKUP('Données projet'!$B$11,Paramètres!$A$1:$I$89,5,0)</f>
        <v>-1.9139179130434059E-13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206.96327004330573</v>
      </c>
      <c r="BJ167" s="62">
        <f t="shared" si="146"/>
        <v>106.52590664430284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51.454124757933691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4.5562581249333759E-9</v>
      </c>
      <c r="BS167" s="24">
        <f t="shared" si="169"/>
        <v>51.454124762489947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6.3550942286383367E-14</v>
      </c>
      <c r="P168" s="14">
        <f t="shared" si="141"/>
        <v>1.0064464192543978E-12</v>
      </c>
      <c r="Q168" s="22">
        <f t="shared" si="162"/>
        <v>1.8635787380168604E-12</v>
      </c>
      <c r="R168" s="62">
        <f t="shared" si="109"/>
        <v>293.33333333333519</v>
      </c>
      <c r="S168" s="62">
        <f ca="1">AVERAGE(OFFSET($R$3,0,0,'Données projet'!$E$9+1,1))-AVERAGE(OFFSET($H$3,0,0,'Données projet'!$E$9+1,1))</f>
        <v>365.70510182727895</v>
      </c>
      <c r="T168" s="62">
        <f t="shared" si="142"/>
        <v>436.23833844962525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34.055854142640477</v>
      </c>
      <c r="AA168" s="23">
        <f>EXP(-LN(2)/25)*AA167+(1-EXP(-LN(2)/25))/(LN(2)/25)*Calculateur!V168*Calculateur!X168*VLOOKUP('Données projet'!$B$9,Paramètres!$A$1:$I$89,3,0)*0.475*44/12</f>
        <v>2.2015439768142224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36.257398119454699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295.83974441964551</v>
      </c>
      <c r="AO168" s="62">
        <f t="shared" si="144"/>
        <v>212.24900914818096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37.980603523590425</v>
      </c>
      <c r="AV168" s="23">
        <f>EXP(-LN(2)/25)*AV167+(1-EXP(-LN(2)/25))/(LN(2)/25)*Calculateur!AQ168*Calculateur!AS168*VLOOKUP('Données projet'!$B$10,Paramètres!$A$1:$I$89,3,0)*0.475*44/12</f>
        <v>2.6608174541055765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40.641420977696001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-3.979039320256561E-13</v>
      </c>
      <c r="BE168" s="14">
        <f>BD168*VLOOKUP('Données projet'!$B$11,Paramètres!$A$1:$I$89,3,0)*VLOOKUP('Données projet'!$B$11,Paramètres!$A$1:$I$89,5,0)</f>
        <v>-1.9139179130434059E-13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206.96327004330573</v>
      </c>
      <c r="BJ168" s="62">
        <f t="shared" si="146"/>
        <v>106.52590664430284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50.445140755347808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3.221761016976694E-9</v>
      </c>
      <c r="BS168" s="24">
        <f t="shared" si="169"/>
        <v>50.445140758569572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6.3550942286383367E-14</v>
      </c>
      <c r="P169" s="14">
        <f t="shared" si="141"/>
        <v>1.0064464192543978E-12</v>
      </c>
      <c r="Q169" s="22">
        <f t="shared" si="162"/>
        <v>1.8635787380168604E-12</v>
      </c>
      <c r="R169" s="62">
        <f t="shared" si="109"/>
        <v>293.33333333333519</v>
      </c>
      <c r="S169" s="62">
        <f ca="1">AVERAGE(OFFSET($R$3,0,0,'Données projet'!$E$9+1,1))-AVERAGE(OFFSET($H$3,0,0,'Données projet'!$E$9+1,1))</f>
        <v>365.70510182727895</v>
      </c>
      <c r="T169" s="62">
        <f t="shared" si="142"/>
        <v>436.23833844962525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33.388039614923258</v>
      </c>
      <c r="AA169" s="23">
        <f>EXP(-LN(2)/25)*AA168+(1-EXP(-LN(2)/25))/(LN(2)/25)*Calculateur!V169*Calculateur!X169*VLOOKUP('Données projet'!$B$9,Paramètres!$A$1:$I$89,3,0)*0.475*44/12</f>
        <v>2.1413426409940715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35.529382255917326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295.83974441964551</v>
      </c>
      <c r="AO169" s="62">
        <f t="shared" si="144"/>
        <v>212.24900914818096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37.235827054373523</v>
      </c>
      <c r="AV169" s="23">
        <f>EXP(-LN(2)/25)*AV168+(1-EXP(-LN(2)/25))/(LN(2)/25)*Calculateur!AQ169*Calculateur!AS169*VLOOKUP('Données projet'!$B$10,Paramètres!$A$1:$I$89,3,0)*0.475*44/12</f>
        <v>2.5880572608967509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39.823884315270277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-3.979039320256561E-13</v>
      </c>
      <c r="BE169" s="14">
        <f>BD169*VLOOKUP('Données projet'!$B$11,Paramètres!$A$1:$I$89,3,0)*VLOOKUP('Données projet'!$B$11,Paramètres!$A$1:$I$89,5,0)</f>
        <v>-1.9139179130434059E-13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206.96327004330573</v>
      </c>
      <c r="BJ169" s="62">
        <f t="shared" si="146"/>
        <v>106.52590664430284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49.455942313633159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2.278129062466688E-9</v>
      </c>
      <c r="BS169" s="24">
        <f t="shared" si="169"/>
        <v>49.455942315911287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6.3550942286383367E-14</v>
      </c>
      <c r="P170" s="14">
        <f t="shared" si="141"/>
        <v>1.0064464192543978E-12</v>
      </c>
      <c r="Q170" s="22">
        <f t="shared" si="162"/>
        <v>1.8635787380168604E-12</v>
      </c>
      <c r="R170" s="62">
        <f t="shared" si="109"/>
        <v>293.33333333333519</v>
      </c>
      <c r="S170" s="62">
        <f ca="1">AVERAGE(OFFSET($R$3,0,0,'Données projet'!$E$9+1,1))-AVERAGE(OFFSET($H$3,0,0,'Données projet'!$E$9+1,1))</f>
        <v>365.70510182727895</v>
      </c>
      <c r="T170" s="62">
        <f t="shared" si="142"/>
        <v>436.23833844962525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32.733320522767933</v>
      </c>
      <c r="AA170" s="23">
        <f>EXP(-LN(2)/25)*AA169+(1-EXP(-LN(2)/25))/(LN(2)/25)*Calculateur!V170*Calculateur!X170*VLOOKUP('Données projet'!$B$9,Paramètres!$A$1:$I$89,3,0)*0.475*44/12</f>
        <v>2.0827875138677734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34.816108036635704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295.83974441964551</v>
      </c>
      <c r="AO170" s="62">
        <f t="shared" si="144"/>
        <v>212.24900914818096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36.505655197449173</v>
      </c>
      <c r="AV170" s="23">
        <f>EXP(-LN(2)/25)*AV169+(1-EXP(-LN(2)/25))/(LN(2)/25)*Calculateur!AQ170*Calculateur!AS170*VLOOKUP('Données projet'!$B$10,Paramètres!$A$1:$I$89,3,0)*0.475*44/12</f>
        <v>2.5172866989975131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39.022941896446689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-3.979039320256561E-13</v>
      </c>
      <c r="BE170" s="14">
        <f>BD170*VLOOKUP('Données projet'!$B$11,Paramètres!$A$1:$I$89,3,0)*VLOOKUP('Données projet'!$B$11,Paramètres!$A$1:$I$89,5,0)</f>
        <v>-1.9139179130434059E-13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206.96327004330573</v>
      </c>
      <c r="BJ170" s="62">
        <f t="shared" si="146"/>
        <v>106.52590664430284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48.486141450009065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1.610880508488347E-9</v>
      </c>
      <c r="BS170" s="24">
        <f t="shared" si="169"/>
        <v>48.486141451619943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6.3550942286383367E-14</v>
      </c>
      <c r="P171" s="14">
        <f t="shared" si="141"/>
        <v>1.0064464192543978E-12</v>
      </c>
      <c r="Q171" s="22">
        <f t="shared" si="162"/>
        <v>1.8635787380168604E-12</v>
      </c>
      <c r="R171" s="62">
        <f t="shared" si="109"/>
        <v>293.33333333333519</v>
      </c>
      <c r="S171" s="62">
        <f ca="1">AVERAGE(OFFSET($R$3,0,0,'Données projet'!$E$9+1,1))-AVERAGE(OFFSET($H$3,0,0,'Données projet'!$E$9+1,1))</f>
        <v>365.70510182727895</v>
      </c>
      <c r="T171" s="62">
        <f t="shared" si="142"/>
        <v>436.23833844962525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32.091440072670558</v>
      </c>
      <c r="AA171" s="23">
        <f>EXP(-LN(2)/25)*AA170+(1-EXP(-LN(2)/25))/(LN(2)/25)*Calculateur!V171*Calculateur!X171*VLOOKUP('Données projet'!$B$9,Paramètres!$A$1:$I$89,3,0)*0.475*44/12</f>
        <v>2.0258335797720242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34.117273652442584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295.83974441964551</v>
      </c>
      <c r="AO171" s="62">
        <f t="shared" si="144"/>
        <v>212.24900914818096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35.789801565278253</v>
      </c>
      <c r="AV171" s="23">
        <f>EXP(-LN(2)/25)*AV170+(1-EXP(-LN(2)/25))/(LN(2)/25)*Calculateur!AQ171*Calculateur!AS171*VLOOKUP('Données projet'!$B$10,Paramètres!$A$1:$I$89,3,0)*0.475*44/12</f>
        <v>2.4484513618350721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38.238252927113322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-3.979039320256561E-13</v>
      </c>
      <c r="BE171" s="14">
        <f>BD171*VLOOKUP('Données projet'!$B$11,Paramètres!$A$1:$I$89,3,0)*VLOOKUP('Données projet'!$B$11,Paramètres!$A$1:$I$89,5,0)</f>
        <v>-1.9139179130434059E-13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206.96327004330573</v>
      </c>
      <c r="BJ171" s="62">
        <f t="shared" si="146"/>
        <v>106.52590664430284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47.535357789800521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1.139064531233344E-9</v>
      </c>
      <c r="BS171" s="24">
        <f t="shared" si="169"/>
        <v>47.535357790939585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6.3550942286383367E-14</v>
      </c>
      <c r="P172" s="14">
        <f t="shared" si="141"/>
        <v>1.0064464192543978E-12</v>
      </c>
      <c r="Q172" s="22">
        <f t="shared" si="162"/>
        <v>1.8635787380168604E-12</v>
      </c>
      <c r="R172" s="62">
        <f t="shared" si="109"/>
        <v>293.33333333333519</v>
      </c>
      <c r="S172" s="62">
        <f ca="1">AVERAGE(OFFSET($R$3,0,0,'Données projet'!$E$9+1,1))-AVERAGE(OFFSET($H$3,0,0,'Données projet'!$E$9+1,1))</f>
        <v>365.70510182727895</v>
      </c>
      <c r="T172" s="62">
        <f t="shared" si="142"/>
        <v>436.23833844962525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31.462146506691177</v>
      </c>
      <c r="AA172" s="23">
        <f>EXP(-LN(2)/25)*AA171+(1-EXP(-LN(2)/25))/(LN(2)/25)*Calculateur!V172*Calculateur!X172*VLOOKUP('Données projet'!$B$9,Paramètres!$A$1:$I$89,3,0)*0.475*44/12</f>
        <v>1.9704370539992002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33.432583560690375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295.83974441964551</v>
      </c>
      <c r="AO172" s="62">
        <f t="shared" si="144"/>
        <v>212.24900914818096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35.087985386206604</v>
      </c>
      <c r="AV172" s="23">
        <f>EXP(-LN(2)/25)*AV171+(1-EXP(-LN(2)/25))/(LN(2)/25)*Calculateur!AQ172*Calculateur!AS172*VLOOKUP('Données projet'!$B$10,Paramètres!$A$1:$I$89,3,0)*0.475*44/12</f>
        <v>2.381498330587231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37.469483716793832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-3.979039320256561E-13</v>
      </c>
      <c r="BE172" s="14">
        <f>BD172*VLOOKUP('Données projet'!$B$11,Paramètres!$A$1:$I$89,3,0)*VLOOKUP('Données projet'!$B$11,Paramètres!$A$1:$I$89,5,0)</f>
        <v>-1.9139179130434059E-13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206.96327004330573</v>
      </c>
      <c r="BJ172" s="62">
        <f t="shared" si="146"/>
        <v>106.52590664430284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46.603218417247895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8.054402542441735E-10</v>
      </c>
      <c r="BS172" s="24">
        <f t="shared" si="169"/>
        <v>46.603218418053338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6.3550942286383367E-14</v>
      </c>
      <c r="P173" s="14">
        <f t="shared" si="141"/>
        <v>1.0064464192543978E-12</v>
      </c>
      <c r="Q173" s="22">
        <f t="shared" si="162"/>
        <v>1.8635787380168604E-12</v>
      </c>
      <c r="R173" s="62">
        <f t="shared" si="109"/>
        <v>293.33333333333519</v>
      </c>
      <c r="S173" s="62">
        <f ca="1">AVERAGE(OFFSET($R$3,0,0,'Données projet'!$E$9+1,1))-AVERAGE(OFFSET($H$3,0,0,'Données projet'!$E$9+1,1))</f>
        <v>365.70510182727895</v>
      </c>
      <c r="T173" s="62">
        <f t="shared" si="142"/>
        <v>436.23833844962525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30.845193003709475</v>
      </c>
      <c r="AA173" s="23">
        <f>EXP(-LN(2)/25)*AA172+(1-EXP(-LN(2)/25))/(LN(2)/25)*Calculateur!V173*Calculateur!X173*VLOOKUP('Données projet'!$B$9,Paramètres!$A$1:$I$89,3,0)*0.475*44/12</f>
        <v>1.9165553491368108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32.761748352846283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295.83974441964551</v>
      </c>
      <c r="AO173" s="62">
        <f t="shared" si="144"/>
        <v>212.24900914818096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34.399931394340953</v>
      </c>
      <c r="AV173" s="23">
        <f>EXP(-LN(2)/25)*AV172+(1-EXP(-LN(2)/25))/(LN(2)/25)*Calculateur!AQ173*Calculateur!AS173*VLOOKUP('Données projet'!$B$10,Paramètres!$A$1:$I$89,3,0)*0.475*44/12</f>
        <v>2.316376133499769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36.716307527840719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-3.979039320256561E-13</v>
      </c>
      <c r="BE173" s="14">
        <f>BD173*VLOOKUP('Données projet'!$B$11,Paramètres!$A$1:$I$89,3,0)*VLOOKUP('Données projet'!$B$11,Paramètres!$A$1:$I$89,5,0)</f>
        <v>-1.9139179130434059E-13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206.96327004330573</v>
      </c>
      <c r="BJ173" s="62">
        <f t="shared" si="146"/>
        <v>106.52590664430284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45.689357729242147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5.6953226561667199E-10</v>
      </c>
      <c r="BS173" s="24">
        <f t="shared" si="169"/>
        <v>45.689357729811682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6.3550942286383367E-14</v>
      </c>
      <c r="P174" s="14">
        <f t="shared" si="141"/>
        <v>1.0064464192543978E-12</v>
      </c>
      <c r="Q174" s="22">
        <f t="shared" si="162"/>
        <v>1.8635787380168604E-12</v>
      </c>
      <c r="R174" s="62">
        <f t="shared" si="109"/>
        <v>293.33333333333519</v>
      </c>
      <c r="S174" s="62">
        <f ca="1">AVERAGE(OFFSET($R$3,0,0,'Données projet'!$E$9+1,1))-AVERAGE(OFFSET($H$3,0,0,'Données projet'!$E$9+1,1))</f>
        <v>365.70510182727895</v>
      </c>
      <c r="T174" s="62">
        <f t="shared" si="142"/>
        <v>436.23833844962525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30.240337582616764</v>
      </c>
      <c r="AA174" s="23">
        <f>EXP(-LN(2)/25)*AA173+(1-EXP(-LN(2)/25))/(LN(2)/25)*Calculateur!V174*Calculateur!X174*VLOOKUP('Données projet'!$B$9,Paramètres!$A$1:$I$89,3,0)*0.475*44/12</f>
        <v>1.8641470423273991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32.104484624944163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295.83974441964551</v>
      </c>
      <c r="AO174" s="62">
        <f t="shared" si="144"/>
        <v>212.24900914818096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33.725369721584286</v>
      </c>
      <c r="AV174" s="23">
        <f>EXP(-LN(2)/25)*AV173+(1-EXP(-LN(2)/25))/(LN(2)/25)*Calculateur!AQ174*Calculateur!AS174*VLOOKUP('Données projet'!$B$10,Paramètres!$A$1:$I$89,3,0)*0.475*44/12</f>
        <v>2.2530347063162912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35.978404427900578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-3.979039320256561E-13</v>
      </c>
      <c r="BE174" s="14">
        <f>BD174*VLOOKUP('Données projet'!$B$11,Paramètres!$A$1:$I$89,3,0)*VLOOKUP('Données projet'!$B$11,Paramètres!$A$1:$I$89,5,0)</f>
        <v>-1.9139179130434059E-13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206.96327004330573</v>
      </c>
      <c r="BJ174" s="62">
        <f t="shared" si="146"/>
        <v>106.52590664430284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44.793417291928208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4.0272012712208675E-10</v>
      </c>
      <c r="BS174" s="24">
        <f t="shared" si="169"/>
        <v>44.793417292330929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6.3550942286383367E-14</v>
      </c>
      <c r="P175" s="14">
        <f t="shared" si="141"/>
        <v>1.0064464192543978E-12</v>
      </c>
      <c r="Q175" s="22">
        <f t="shared" si="162"/>
        <v>1.8635787380168604E-12</v>
      </c>
      <c r="R175" s="62">
        <f t="shared" si="109"/>
        <v>293.33333333333519</v>
      </c>
      <c r="S175" s="62">
        <f ca="1">AVERAGE(OFFSET($R$3,0,0,'Données projet'!$E$9+1,1))-AVERAGE(OFFSET($H$3,0,0,'Données projet'!$E$9+1,1))</f>
        <v>365.70510182727895</v>
      </c>
      <c r="T175" s="62">
        <f t="shared" si="142"/>
        <v>436.23833844962525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29.647343007406302</v>
      </c>
      <c r="AA175" s="23">
        <f>EXP(-LN(2)/25)*AA174+(1-EXP(-LN(2)/25))/(LN(2)/25)*Calculateur!V175*Calculateur!X175*VLOOKUP('Données projet'!$B$9,Paramètres!$A$1:$I$89,3,0)*0.475*44/12</f>
        <v>1.8131718434237241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31.460514850830027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295.83974441964551</v>
      </c>
      <c r="AO175" s="62">
        <f t="shared" si="144"/>
        <v>212.24900914818096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33.064035791788385</v>
      </c>
      <c r="AV175" s="23">
        <f>EXP(-LN(2)/25)*AV174+(1-EXP(-LN(2)/25))/(LN(2)/25)*Calculateur!AQ175*Calculateur!AS175*VLOOKUP('Données projet'!$B$10,Paramètres!$A$1:$I$89,3,0)*0.475*44/12</f>
        <v>2.1914253537901263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35.255461145578508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-3.979039320256561E-13</v>
      </c>
      <c r="BE175" s="14">
        <f>BD175*VLOOKUP('Données projet'!$B$11,Paramètres!$A$1:$I$89,3,0)*VLOOKUP('Données projet'!$B$11,Paramètres!$A$1:$I$89,5,0)</f>
        <v>-1.9139179130434059E-13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206.96327004330573</v>
      </c>
      <c r="BJ175" s="62">
        <f t="shared" si="146"/>
        <v>106.52590664430284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43.915045700120288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2.84766132808336E-10</v>
      </c>
      <c r="BS175" s="24">
        <f t="shared" si="169"/>
        <v>43.915045700405052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6.3550942286383367E-14</v>
      </c>
      <c r="P176" s="14">
        <f t="shared" si="141"/>
        <v>1.0064464192543978E-12</v>
      </c>
      <c r="Q176" s="22">
        <f t="shared" si="162"/>
        <v>1.8635787380168604E-12</v>
      </c>
      <c r="R176" s="62">
        <f t="shared" si="109"/>
        <v>293.33333333333519</v>
      </c>
      <c r="S176" s="62">
        <f ca="1">AVERAGE(OFFSET($R$3,0,0,'Données projet'!$E$9+1,1))-AVERAGE(OFFSET($H$3,0,0,'Données projet'!$E$9+1,1))</f>
        <v>365.70510182727895</v>
      </c>
      <c r="T176" s="62">
        <f t="shared" si="142"/>
        <v>436.23833844962525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29.065976694124743</v>
      </c>
      <c r="AA176" s="23">
        <f>EXP(-LN(2)/25)*AA175+(1-EXP(-LN(2)/25))/(LN(2)/25)*Calculateur!V176*Calculateur!X176*VLOOKUP('Données projet'!$B$9,Paramètres!$A$1:$I$89,3,0)*0.475*44/12</f>
        <v>1.7635905640147391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30.82956725813948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295.83974441964551</v>
      </c>
      <c r="AO176" s="62">
        <f t="shared" si="144"/>
        <v>212.24900914818096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32.415670216981916</v>
      </c>
      <c r="AV176" s="23">
        <f>EXP(-LN(2)/25)*AV175+(1-EXP(-LN(2)/25))/(LN(2)/25)*Calculateur!AQ176*Calculateur!AS176*VLOOKUP('Données projet'!$B$10,Paramètres!$A$1:$I$89,3,0)*0.475*44/12</f>
        <v>2.1315007122486844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34.547170929230603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-3.979039320256561E-13</v>
      </c>
      <c r="BE176" s="14">
        <f>BD176*VLOOKUP('Données projet'!$B$11,Paramètres!$A$1:$I$89,3,0)*VLOOKUP('Données projet'!$B$11,Paramètres!$A$1:$I$89,5,0)</f>
        <v>-1.9139179130434059E-13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206.96327004330573</v>
      </c>
      <c r="BJ176" s="62">
        <f t="shared" si="146"/>
        <v>106.52590664430284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43.053898439473954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2.0136006356104337E-10</v>
      </c>
      <c r="BS176" s="24">
        <f t="shared" si="169"/>
        <v>43.053898439675315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6.3550942286383367E-14</v>
      </c>
      <c r="P177" s="14">
        <f t="shared" si="141"/>
        <v>1.0064464192543978E-12</v>
      </c>
      <c r="Q177" s="22">
        <f t="shared" si="162"/>
        <v>1.8635787380168604E-12</v>
      </c>
      <c r="R177" s="62">
        <f t="shared" si="109"/>
        <v>293.33333333333519</v>
      </c>
      <c r="S177" s="62">
        <f ca="1">AVERAGE(OFFSET($R$3,0,0,'Données projet'!$E$9+1,1))-AVERAGE(OFFSET($H$3,0,0,'Données projet'!$E$9+1,1))</f>
        <v>365.70510182727895</v>
      </c>
      <c r="T177" s="62">
        <f t="shared" si="142"/>
        <v>436.23833844962525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28.496010619648196</v>
      </c>
      <c r="AA177" s="23">
        <f>EXP(-LN(2)/25)*AA176+(1-EXP(-LN(2)/25))/(LN(2)/25)*Calculateur!V177*Calculateur!X177*VLOOKUP('Données projet'!$B$9,Paramètres!$A$1:$I$89,3,0)*0.475*44/12</f>
        <v>1.7153650872985591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30.211375706946754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295.83974441964551</v>
      </c>
      <c r="AO177" s="62">
        <f t="shared" si="144"/>
        <v>212.24900914818096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31.780018695633448</v>
      </c>
      <c r="AV177" s="23">
        <f>EXP(-LN(2)/25)*AV176+(1-EXP(-LN(2)/25))/(LN(2)/25)*Calculateur!AQ177*Calculateur!AS177*VLOOKUP('Données projet'!$B$10,Paramètres!$A$1:$I$89,3,0)*0.475*44/12</f>
        <v>2.0732147131814931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33.853233408814944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-3.979039320256561E-13</v>
      </c>
      <c r="BE177" s="14">
        <f>BD177*VLOOKUP('Données projet'!$B$11,Paramètres!$A$1:$I$89,3,0)*VLOOKUP('Données projet'!$B$11,Paramètres!$A$1:$I$89,5,0)</f>
        <v>-1.9139179130434059E-13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206.96327004330573</v>
      </c>
      <c r="BJ177" s="62">
        <f t="shared" si="146"/>
        <v>106.52590664430284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42.20963775136093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1.42383066404168E-10</v>
      </c>
      <c r="BS177" s="24">
        <f t="shared" si="169"/>
        <v>42.209637751503315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6.3550942286383367E-14</v>
      </c>
      <c r="P178" s="14">
        <f t="shared" si="141"/>
        <v>1.0064464192543978E-12</v>
      </c>
      <c r="Q178" s="22">
        <f t="shared" si="162"/>
        <v>1.8635787380168604E-12</v>
      </c>
      <c r="R178" s="62">
        <f t="shared" si="109"/>
        <v>293.33333333333519</v>
      </c>
      <c r="S178" s="62">
        <f ca="1">AVERAGE(OFFSET($R$3,0,0,'Données projet'!$E$9+1,1))-AVERAGE(OFFSET($H$3,0,0,'Données projet'!$E$9+1,1))</f>
        <v>365.70510182727895</v>
      </c>
      <c r="T178" s="62">
        <f t="shared" si="142"/>
        <v>436.23833844962525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27.937221232247158</v>
      </c>
      <c r="AA178" s="23">
        <f>EXP(-LN(2)/25)*AA177+(1-EXP(-LN(2)/25))/(LN(2)/25)*Calculateur!V178*Calculateur!X178*VLOOKUP('Données projet'!$B$9,Paramètres!$A$1:$I$89,3,0)*0.475*44/12</f>
        <v>1.6684583387792506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29.605679571026407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295.83974441964551</v>
      </c>
      <c r="AO178" s="62">
        <f t="shared" si="144"/>
        <v>212.24900914818096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31.156831912909478</v>
      </c>
      <c r="AV178" s="23">
        <f>EXP(-LN(2)/25)*AV177+(1-EXP(-LN(2)/25))/(LN(2)/25)*Calculateur!AQ178*Calculateur!AS178*VLOOKUP('Données projet'!$B$10,Paramètres!$A$1:$I$89,3,0)*0.475*44/12</f>
        <v>2.0165225478239219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33.1733544607334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-3.979039320256561E-13</v>
      </c>
      <c r="BE178" s="14">
        <f>BD178*VLOOKUP('Données projet'!$B$11,Paramètres!$A$1:$I$89,3,0)*VLOOKUP('Données projet'!$B$11,Paramètres!$A$1:$I$89,5,0)</f>
        <v>-1.9139179130434059E-13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206.96327004330573</v>
      </c>
      <c r="BJ178" s="62">
        <f t="shared" si="146"/>
        <v>106.52590664430284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41.381932500393631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1.0068003178052169E-10</v>
      </c>
      <c r="BS178" s="24">
        <f t="shared" si="169"/>
        <v>41.381932500494308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6.3550942286383367E-14</v>
      </c>
      <c r="P179" s="14">
        <f t="shared" si="141"/>
        <v>1.0064464192543978E-12</v>
      </c>
      <c r="Q179" s="22">
        <f t="shared" si="162"/>
        <v>1.8635787380168604E-12</v>
      </c>
      <c r="R179" s="62">
        <f t="shared" si="109"/>
        <v>293.33333333333519</v>
      </c>
      <c r="S179" s="62">
        <f ca="1">AVERAGE(OFFSET($R$3,0,0,'Données projet'!$E$9+1,1))-AVERAGE(OFFSET($H$3,0,0,'Données projet'!$E$9+1,1))</f>
        <v>365.70510182727895</v>
      </c>
      <c r="T179" s="62">
        <f t="shared" si="142"/>
        <v>436.23833844962525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27.389389363905181</v>
      </c>
      <c r="AA179" s="23">
        <f>EXP(-LN(2)/25)*AA178+(1-EXP(-LN(2)/25))/(LN(2)/25)*Calculateur!V179*Calculateur!X179*VLOOKUP('Données projet'!$B$9,Paramètres!$A$1:$I$89,3,0)*0.475*44/12</f>
        <v>1.6228342577649213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29.012223621670103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295.83974441964551</v>
      </c>
      <c r="AO179" s="62">
        <f t="shared" si="144"/>
        <v>212.24900914818096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30.545865442888321</v>
      </c>
      <c r="AV179" s="23">
        <f>EXP(-LN(2)/25)*AV178+(1-EXP(-LN(2)/25))/(LN(2)/25)*Calculateur!AQ179*Calculateur!AS179*VLOOKUP('Données projet'!$B$10,Paramètres!$A$1:$I$89,3,0)*0.475*44/12</f>
        <v>1.9613806327093648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32.507246075597685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-3.979039320256561E-13</v>
      </c>
      <c r="BE179" s="14">
        <f>BD179*VLOOKUP('Données projet'!$B$11,Paramètres!$A$1:$I$89,3,0)*VLOOKUP('Données projet'!$B$11,Paramètres!$A$1:$I$89,5,0)</f>
        <v>-1.9139179130434059E-13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206.96327004330573</v>
      </c>
      <c r="BJ179" s="62">
        <f t="shared" si="146"/>
        <v>106.52590664430284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40.570458044547443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7.1191533202083999E-11</v>
      </c>
      <c r="BS179" s="24">
        <f t="shared" si="169"/>
        <v>40.570458044618633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6.3550942286383367E-14</v>
      </c>
      <c r="P180" s="14">
        <f t="shared" si="141"/>
        <v>1.0064464192543978E-12</v>
      </c>
      <c r="Q180" s="22">
        <f t="shared" si="162"/>
        <v>1.8635787380168604E-12</v>
      </c>
      <c r="R180" s="62">
        <f t="shared" si="109"/>
        <v>293.33333333333519</v>
      </c>
      <c r="S180" s="62">
        <f ca="1">AVERAGE(OFFSET($R$3,0,0,'Données projet'!$E$9+1,1))-AVERAGE(OFFSET($H$3,0,0,'Données projet'!$E$9+1,1))</f>
        <v>365.70510182727895</v>
      </c>
      <c r="T180" s="62">
        <f t="shared" si="142"/>
        <v>436.23833844962525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26.852300144356946</v>
      </c>
      <c r="AA180" s="23">
        <f>EXP(-LN(2)/25)*AA179+(1-EXP(-LN(2)/25))/(LN(2)/25)*Calculateur!V180*Calculateur!X180*VLOOKUP('Données projet'!$B$9,Paramètres!$A$1:$I$89,3,0)*0.475*44/12</f>
        <v>1.5784577696451949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28.43075791400214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295.83974441964551</v>
      </c>
      <c r="AO180" s="62">
        <f t="shared" si="144"/>
        <v>212.24900914818096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29.946879652691528</v>
      </c>
      <c r="AV180" s="23">
        <f>EXP(-LN(2)/25)*AV179+(1-EXP(-LN(2)/25))/(LN(2)/25)*Calculateur!AQ180*Calculateur!AS180*VLOOKUP('Données projet'!$B$10,Paramètres!$A$1:$I$89,3,0)*0.475*44/12</f>
        <v>1.9077465761634025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31.854626228854929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-3.979039320256561E-13</v>
      </c>
      <c r="BE180" s="14">
        <f>BD180*VLOOKUP('Données projet'!$B$11,Paramètres!$A$1:$I$89,3,0)*VLOOKUP('Données projet'!$B$11,Paramètres!$A$1:$I$89,5,0)</f>
        <v>-1.9139179130434059E-13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206.96327004330573</v>
      </c>
      <c r="BJ180" s="62">
        <f t="shared" si="146"/>
        <v>106.52590664430284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39.774896107829854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5.0340015890260844E-11</v>
      </c>
      <c r="BS180" s="24">
        <f t="shared" si="169"/>
        <v>39.774896107880195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6.3550942286383367E-14</v>
      </c>
      <c r="P181" s="14">
        <f t="shared" si="141"/>
        <v>1.0064464192543978E-12</v>
      </c>
      <c r="Q181" s="22">
        <f t="shared" si="162"/>
        <v>1.8635787380168604E-12</v>
      </c>
      <c r="R181" s="62">
        <f t="shared" si="109"/>
        <v>293.33333333333519</v>
      </c>
      <c r="S181" s="62">
        <f ca="1">AVERAGE(OFFSET($R$3,0,0,'Données projet'!$E$9+1,1))-AVERAGE(OFFSET($H$3,0,0,'Données projet'!$E$9+1,1))</f>
        <v>365.70510182727895</v>
      </c>
      <c r="T181" s="62">
        <f t="shared" si="142"/>
        <v>436.23833844962525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26.325742916811972</v>
      </c>
      <c r="AA181" s="23">
        <f>EXP(-LN(2)/25)*AA180+(1-EXP(-LN(2)/25))/(LN(2)/25)*Calculateur!V181*Calculateur!X181*VLOOKUP('Données projet'!$B$9,Paramètres!$A$1:$I$89,3,0)*0.475*44/12</f>
        <v>1.5352947589267605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27.861037675738732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295.83974441964551</v>
      </c>
      <c r="AO181" s="62">
        <f t="shared" si="144"/>
        <v>212.24900914818096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29.35963960849524</v>
      </c>
      <c r="AV181" s="23">
        <f>EXP(-LN(2)/25)*AV180+(1-EXP(-LN(2)/25))/(LN(2)/25)*Calculateur!AQ181*Calculateur!AS181*VLOOKUP('Données projet'!$B$10,Paramètres!$A$1:$I$89,3,0)*0.475*44/12</f>
        <v>1.8555791457141819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31.21521875420942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-3.979039320256561E-13</v>
      </c>
      <c r="BE181" s="14">
        <f>BD181*VLOOKUP('Données projet'!$B$11,Paramètres!$A$1:$I$89,3,0)*VLOOKUP('Données projet'!$B$11,Paramètres!$A$1:$I$89,5,0)</f>
        <v>-1.9139179130434059E-13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206.96327004330573</v>
      </c>
      <c r="BJ181" s="62">
        <f t="shared" si="146"/>
        <v>106.52590664430284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38.994934655446428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3.5595766601042E-11</v>
      </c>
      <c r="BS181" s="24">
        <f t="shared" si="169"/>
        <v>38.994934655482027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6.3550942286383367E-14</v>
      </c>
      <c r="P182" s="14">
        <f t="shared" si="141"/>
        <v>1.0064464192543978E-12</v>
      </c>
      <c r="Q182" s="22">
        <f t="shared" si="162"/>
        <v>1.8635787380168604E-12</v>
      </c>
      <c r="R182" s="62">
        <f t="shared" si="109"/>
        <v>293.33333333333519</v>
      </c>
      <c r="S182" s="62">
        <f ca="1">AVERAGE(OFFSET($R$3,0,0,'Données projet'!$E$9+1,1))-AVERAGE(OFFSET($H$3,0,0,'Données projet'!$E$9+1,1))</f>
        <v>365.70510182727895</v>
      </c>
      <c r="T182" s="62">
        <f t="shared" si="142"/>
        <v>436.23833844962525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25.809511155330959</v>
      </c>
      <c r="AA182" s="23">
        <f>EXP(-LN(2)/25)*AA181+(1-EXP(-LN(2)/25))/(LN(2)/25)*Calculateur!V182*Calculateur!X182*VLOOKUP('Données projet'!$B$9,Paramètres!$A$1:$I$89,3,0)*0.475*44/12</f>
        <v>1.4933120430062659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27.302823198337226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295.83974441964551</v>
      </c>
      <c r="AO182" s="62">
        <f t="shared" si="144"/>
        <v>212.24900914818096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28.78391498338458</v>
      </c>
      <c r="AV182" s="23">
        <f>EXP(-LN(2)/25)*AV181+(1-EXP(-LN(2)/25))/(LN(2)/25)*Calculateur!AQ182*Calculateur!AS182*VLOOKUP('Données projet'!$B$10,Paramètres!$A$1:$I$89,3,0)*0.475*44/12</f>
        <v>1.8048382363939612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30.588753219778543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-3.979039320256561E-13</v>
      </c>
      <c r="BE182" s="14">
        <f>BD182*VLOOKUP('Données projet'!$B$11,Paramètres!$A$1:$I$89,3,0)*VLOOKUP('Données projet'!$B$11,Paramètres!$A$1:$I$89,5,0)</f>
        <v>-1.9139179130434059E-13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206.96327004330573</v>
      </c>
      <c r="BJ182" s="62">
        <f t="shared" si="146"/>
        <v>106.52590664430284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38.230267771414731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2.5170007945130422E-11</v>
      </c>
      <c r="BS182" s="24">
        <f t="shared" si="169"/>
        <v>38.230267771439898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6.3550942286383367E-14</v>
      </c>
      <c r="P183" s="14">
        <f t="shared" si="141"/>
        <v>1.0064464192543978E-12</v>
      </c>
      <c r="Q183" s="22">
        <f t="shared" si="162"/>
        <v>1.8635787380168604E-12</v>
      </c>
      <c r="R183" s="62">
        <f t="shared" si="109"/>
        <v>293.33333333333519</v>
      </c>
      <c r="S183" s="62">
        <f ca="1">AVERAGE(OFFSET($R$3,0,0,'Données projet'!$E$9+1,1))-AVERAGE(OFFSET($H$3,0,0,'Données projet'!$E$9+1,1))</f>
        <v>365.70510182727895</v>
      </c>
      <c r="T183" s="62">
        <f t="shared" si="142"/>
        <v>436.23833844962525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25.303402383822306</v>
      </c>
      <c r="AA183" s="23">
        <f>EXP(-LN(2)/25)*AA182+(1-EXP(-LN(2)/25))/(LN(2)/25)*Calculateur!V183*Calculateur!X183*VLOOKUP('Données projet'!$B$9,Paramètres!$A$1:$I$89,3,0)*0.475*44/12</f>
        <v>1.4524773466603922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26.755879730482697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295.83974441964551</v>
      </c>
      <c r="AO183" s="62">
        <f t="shared" si="144"/>
        <v>212.24900914818096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28.219479967014994</v>
      </c>
      <c r="AV183" s="23">
        <f>EXP(-LN(2)/25)*AV182+(1-EXP(-LN(2)/25))/(LN(2)/25)*Calculateur!AQ183*Calculateur!AS183*VLOOKUP('Données projet'!$B$10,Paramètres!$A$1:$I$89,3,0)*0.475*44/12</f>
        <v>1.7554848399074505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29.974964806922443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-3.979039320256561E-13</v>
      </c>
      <c r="BE183" s="14">
        <f>BD183*VLOOKUP('Données projet'!$B$11,Paramètres!$A$1:$I$89,3,0)*VLOOKUP('Données projet'!$B$11,Paramètres!$A$1:$I$89,5,0)</f>
        <v>-1.9139179130434059E-13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206.96327004330573</v>
      </c>
      <c r="BJ183" s="62">
        <f t="shared" si="146"/>
        <v>106.52590664430284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37.48059553857815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1.7797883300521E-11</v>
      </c>
      <c r="BS183" s="24">
        <f t="shared" si="169"/>
        <v>37.480595538595949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6.3550942286383367E-14</v>
      </c>
      <c r="P184" s="14">
        <f t="shared" si="141"/>
        <v>1.0064464192543978E-12</v>
      </c>
      <c r="Q184" s="22">
        <f t="shared" si="162"/>
        <v>1.8635787380168604E-12</v>
      </c>
      <c r="R184" s="62">
        <f t="shared" si="109"/>
        <v>293.33333333333519</v>
      </c>
      <c r="S184" s="62">
        <f ca="1">AVERAGE(OFFSET($R$3,0,0,'Données projet'!$E$9+1,1))-AVERAGE(OFFSET($H$3,0,0,'Données projet'!$E$9+1,1))</f>
        <v>365.70510182727895</v>
      </c>
      <c r="T184" s="62">
        <f t="shared" si="142"/>
        <v>436.23833844962525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24.807218096627068</v>
      </c>
      <c r="AA184" s="23">
        <f>EXP(-LN(2)/25)*AA183+(1-EXP(-LN(2)/25))/(LN(2)/25)*Calculateur!V184*Calculateur!X184*VLOOKUP('Données projet'!$B$9,Paramètres!$A$1:$I$89,3,0)*0.475*44/12</f>
        <v>1.4127592772334998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26.219977373860569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295.83974441964551</v>
      </c>
      <c r="AO184" s="62">
        <f t="shared" si="144"/>
        <v>212.24900914818096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27.666113177045048</v>
      </c>
      <c r="AV184" s="23">
        <f>EXP(-LN(2)/25)*AV183+(1-EXP(-LN(2)/25))/(LN(2)/25)*Calculateur!AQ184*Calculateur!AS184*VLOOKUP('Données projet'!$B$10,Paramètres!$A$1:$I$89,3,0)*0.475*44/12</f>
        <v>1.7074810146432458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29.373594191688294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-3.979039320256561E-13</v>
      </c>
      <c r="BE184" s="14">
        <f>BD184*VLOOKUP('Données projet'!$B$11,Paramètres!$A$1:$I$89,3,0)*VLOOKUP('Données projet'!$B$11,Paramètres!$A$1:$I$89,5,0)</f>
        <v>-1.9139179130434059E-13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206.96327004330573</v>
      </c>
      <c r="BJ184" s="62">
        <f t="shared" si="146"/>
        <v>106.52590664430284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36.745623920972584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1.2585003972565211E-11</v>
      </c>
      <c r="BS184" s="24">
        <f t="shared" si="169"/>
        <v>36.745623920985167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6.3550942286383367E-14</v>
      </c>
      <c r="P185" s="14">
        <f t="shared" si="141"/>
        <v>1.0064464192543978E-12</v>
      </c>
      <c r="Q185" s="22">
        <f t="shared" si="162"/>
        <v>1.8635787380168604E-12</v>
      </c>
      <c r="R185" s="62">
        <f t="shared" si="109"/>
        <v>293.33333333333519</v>
      </c>
      <c r="S185" s="62">
        <f ca="1">AVERAGE(OFFSET($R$3,0,0,'Données projet'!$E$9+1,1))-AVERAGE(OFFSET($H$3,0,0,'Données projet'!$E$9+1,1))</f>
        <v>365.70510182727895</v>
      </c>
      <c r="T185" s="62">
        <f t="shared" si="142"/>
        <v>436.23833844962525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24.320763680661198</v>
      </c>
      <c r="AA185" s="23">
        <f>EXP(-LN(2)/25)*AA184+(1-EXP(-LN(2)/25))/(LN(2)/25)*Calculateur!V185*Calculateur!X185*VLOOKUP('Données projet'!$B$9,Paramètres!$A$1:$I$89,3,0)*0.475*44/12</f>
        <v>1.3741273005037682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25.694890981164967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295.83974441964551</v>
      </c>
      <c r="AO185" s="62">
        <f t="shared" si="144"/>
        <v>212.24900914818096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27.123597572305997</v>
      </c>
      <c r="AV185" s="23">
        <f>EXP(-LN(2)/25)*AV184+(1-EXP(-LN(2)/25))/(LN(2)/25)*Calculateur!AQ185*Calculateur!AS185*VLOOKUP('Données projet'!$B$10,Paramètres!$A$1:$I$89,3,0)*0.475*44/12</f>
        <v>1.6607898565053021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28.7843874288113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-3.979039320256561E-13</v>
      </c>
      <c r="BE185" s="14">
        <f>BD185*VLOOKUP('Données projet'!$B$11,Paramètres!$A$1:$I$89,3,0)*VLOOKUP('Données projet'!$B$11,Paramètres!$A$1:$I$89,5,0)</f>
        <v>-1.9139179130434059E-13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206.96327004330573</v>
      </c>
      <c r="BJ185" s="62">
        <f t="shared" si="146"/>
        <v>106.52590664430284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36.025064648499843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8.8989416502604999E-12</v>
      </c>
      <c r="BS185" s="24">
        <f t="shared" si="169"/>
        <v>36.025064648508739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6.3550942286383367E-14</v>
      </c>
      <c r="P186" s="14">
        <f t="shared" si="141"/>
        <v>1.0064464192543978E-12</v>
      </c>
      <c r="Q186" s="22">
        <f t="shared" si="162"/>
        <v>1.8635787380168604E-12</v>
      </c>
      <c r="R186" s="62">
        <f t="shared" si="109"/>
        <v>293.33333333333519</v>
      </c>
      <c r="S186" s="62">
        <f ca="1">AVERAGE(OFFSET($R$3,0,0,'Données projet'!$E$9+1,1))-AVERAGE(OFFSET($H$3,0,0,'Données projet'!$E$9+1,1))</f>
        <v>365.70510182727895</v>
      </c>
      <c r="T186" s="62">
        <f t="shared" si="142"/>
        <v>436.23833844962525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23.84384833908452</v>
      </c>
      <c r="AA186" s="23">
        <f>EXP(-LN(2)/25)*AA185+(1-EXP(-LN(2)/25))/(LN(2)/25)*Calculateur!V186*Calculateur!X186*VLOOKUP('Données projet'!$B$9,Paramètres!$A$1:$I$89,3,0)*0.475*44/12</f>
        <v>1.3365517172092785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25.180400056293799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295.83974441964551</v>
      </c>
      <c r="AO186" s="62">
        <f t="shared" si="144"/>
        <v>212.24900914818096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26.591720367674036</v>
      </c>
      <c r="AV186" s="23">
        <f>EXP(-LN(2)/25)*AV185+(1-EXP(-LN(2)/25))/(LN(2)/25)*Calculateur!AQ186*Calculateur!AS186*VLOOKUP('Données projet'!$B$10,Paramètres!$A$1:$I$89,3,0)*0.475*44/12</f>
        <v>1.6153754705420218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28.207095838216059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-3.979039320256561E-13</v>
      </c>
      <c r="BE186" s="14">
        <f>BD186*VLOOKUP('Données projet'!$B$11,Paramètres!$A$1:$I$89,3,0)*VLOOKUP('Données projet'!$B$11,Paramètres!$A$1:$I$89,5,0)</f>
        <v>-1.9139179130434059E-13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206.96327004330573</v>
      </c>
      <c r="BJ186" s="62">
        <f t="shared" si="146"/>
        <v>106.52590664430284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35.318635103862533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6.2925019862826054E-12</v>
      </c>
      <c r="BS186" s="24">
        <f t="shared" si="169"/>
        <v>35.318635103868829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6.3550942286383367E-14</v>
      </c>
      <c r="P187" s="14">
        <f t="shared" si="141"/>
        <v>1.0064464192543978E-12</v>
      </c>
      <c r="Q187" s="22">
        <f t="shared" si="162"/>
        <v>1.8635787380168604E-12</v>
      </c>
      <c r="R187" s="62">
        <f t="shared" si="109"/>
        <v>293.33333333333519</v>
      </c>
      <c r="S187" s="62">
        <f ca="1">AVERAGE(OFFSET($R$3,0,0,'Données projet'!$E$9+1,1))-AVERAGE(OFFSET($H$3,0,0,'Données projet'!$E$9+1,1))</f>
        <v>365.70510182727895</v>
      </c>
      <c r="T187" s="62">
        <f t="shared" si="142"/>
        <v>436.23833844962525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23.376285016466525</v>
      </c>
      <c r="AA187" s="23">
        <f>EXP(-LN(2)/25)*AA186+(1-EXP(-LN(2)/25))/(LN(2)/25)*Calculateur!V187*Calculateur!X187*VLOOKUP('Données projet'!$B$9,Paramètres!$A$1:$I$89,3,0)*0.475*44/12</f>
        <v>1.3000036402159907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24.676288656682516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295.83974441964551</v>
      </c>
      <c r="AO187" s="62">
        <f t="shared" si="144"/>
        <v>212.24900914818096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26.070272950611844</v>
      </c>
      <c r="AV187" s="23">
        <f>EXP(-LN(2)/25)*AV186+(1-EXP(-LN(2)/25))/(LN(2)/25)*Calculateur!AQ187*Calculateur!AS187*VLOOKUP('Données projet'!$B$10,Paramètres!$A$1:$I$89,3,0)*0.475*44/12</f>
        <v>1.5712029433511463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27.641475893962991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-3.979039320256561E-13</v>
      </c>
      <c r="BE187" s="14">
        <f>BD187*VLOOKUP('Données projet'!$B$11,Paramètres!$A$1:$I$89,3,0)*VLOOKUP('Données projet'!$B$11,Paramètres!$A$1:$I$89,5,0)</f>
        <v>-1.9139179130434059E-13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206.96327004330573</v>
      </c>
      <c r="BJ187" s="62">
        <f t="shared" si="146"/>
        <v>106.52590664430284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34.626058211716085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4.4494708251302499E-12</v>
      </c>
      <c r="BS187" s="24">
        <f t="shared" si="169"/>
        <v>34.626058211720533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6.3550942286383367E-14</v>
      </c>
      <c r="P188" s="14">
        <f t="shared" si="141"/>
        <v>1.0064464192543978E-12</v>
      </c>
      <c r="Q188" s="22">
        <f t="shared" si="162"/>
        <v>1.8635787380168604E-12</v>
      </c>
      <c r="R188" s="62">
        <f t="shared" si="109"/>
        <v>293.33333333333519</v>
      </c>
      <c r="S188" s="62">
        <f ca="1">AVERAGE(OFFSET($R$3,0,0,'Données projet'!$E$9+1,1))-AVERAGE(OFFSET($H$3,0,0,'Données projet'!$E$9+1,1))</f>
        <v>365.70510182727895</v>
      </c>
      <c r="T188" s="62">
        <f t="shared" si="142"/>
        <v>436.23833844962525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22.917890325419602</v>
      </c>
      <c r="AA188" s="23">
        <f>EXP(-LN(2)/25)*AA187+(1-EXP(-LN(2)/25))/(LN(2)/25)*Calculateur!V188*Calculateur!X188*VLOOKUP('Données projet'!$B$9,Paramètres!$A$1:$I$89,3,0)*0.475*44/12</f>
        <v>1.2644549723100642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24.182345297729668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295.83974441964551</v>
      </c>
      <c r="AO188" s="62">
        <f t="shared" si="144"/>
        <v>212.24900914818096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25.559050799346725</v>
      </c>
      <c r="AV188" s="23">
        <f>EXP(-LN(2)/25)*AV187+(1-EXP(-LN(2)/25))/(LN(2)/25)*Calculateur!AQ188*Calculateur!AS188*VLOOKUP('Données projet'!$B$10,Paramètres!$A$1:$I$89,3,0)*0.475*44/12</f>
        <v>1.5282383162392374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27.087289115585961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-3.979039320256561E-13</v>
      </c>
      <c r="BE188" s="14">
        <f>BD188*VLOOKUP('Données projet'!$B$11,Paramètres!$A$1:$I$89,3,0)*VLOOKUP('Données projet'!$B$11,Paramètres!$A$1:$I$89,5,0)</f>
        <v>-1.9139179130434059E-13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206.96327004330573</v>
      </c>
      <c r="BJ188" s="62">
        <f t="shared" si="146"/>
        <v>106.52590664430284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33.947062329994431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3.1462509931413027E-12</v>
      </c>
      <c r="BS188" s="24">
        <f t="shared" si="169"/>
        <v>33.947062329997578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6.3550942286383367E-14</v>
      </c>
      <c r="P189" s="14">
        <f t="shared" si="141"/>
        <v>1.0064464192543978E-12</v>
      </c>
      <c r="Q189" s="22">
        <f t="shared" si="162"/>
        <v>1.8635787380168604E-12</v>
      </c>
      <c r="R189" s="62">
        <f t="shared" si="109"/>
        <v>293.33333333333519</v>
      </c>
      <c r="S189" s="62">
        <f ca="1">AVERAGE(OFFSET($R$3,0,0,'Données projet'!$E$9+1,1))-AVERAGE(OFFSET($H$3,0,0,'Données projet'!$E$9+1,1))</f>
        <v>365.70510182727895</v>
      </c>
      <c r="T189" s="62">
        <f t="shared" si="142"/>
        <v>436.23833844962525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22.468484474670955</v>
      </c>
      <c r="AA189" s="23">
        <f>EXP(-LN(2)/25)*AA188+(1-EXP(-LN(2)/25))/(LN(2)/25)*Calculateur!V189*Calculateur!X189*VLOOKUP('Données projet'!$B$9,Paramètres!$A$1:$I$89,3,0)*0.475*44/12</f>
        <v>1.2298783845974484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23.698362859268403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295.83974441964551</v>
      </c>
      <c r="AO189" s="62">
        <f t="shared" si="144"/>
        <v>212.24900914818096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25.05785340265319</v>
      </c>
      <c r="AV189" s="23">
        <f>EXP(-LN(2)/25)*AV188+(1-EXP(-LN(2)/25))/(LN(2)/25)*Calculateur!AQ189*Calculateur!AS189*VLOOKUP('Données projet'!$B$10,Paramètres!$A$1:$I$89,3,0)*0.475*44/12</f>
        <v>1.4864485591151153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26.544301961768305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-3.979039320256561E-13</v>
      </c>
      <c r="BE189" s="14">
        <f>BD189*VLOOKUP('Données projet'!$B$11,Paramètres!$A$1:$I$89,3,0)*VLOOKUP('Données projet'!$B$11,Paramètres!$A$1:$I$89,5,0)</f>
        <v>-1.9139179130434059E-13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206.96327004330573</v>
      </c>
      <c r="BJ189" s="62">
        <f t="shared" si="146"/>
        <v>106.52590664430284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33.281381143366744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2.224735412565125E-12</v>
      </c>
      <c r="BS189" s="24">
        <f t="shared" si="169"/>
        <v>33.281381143368968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6.3550942286383367E-14</v>
      </c>
      <c r="P190" s="14">
        <f t="shared" si="141"/>
        <v>1.0064464192543978E-12</v>
      </c>
      <c r="Q190" s="22">
        <f t="shared" si="162"/>
        <v>1.8635787380168604E-12</v>
      </c>
      <c r="R190" s="62">
        <f t="shared" si="109"/>
        <v>293.33333333333519</v>
      </c>
      <c r="S190" s="62">
        <f ca="1">AVERAGE(OFFSET($R$3,0,0,'Données projet'!$E$9+1,1))-AVERAGE(OFFSET($H$3,0,0,'Données projet'!$E$9+1,1))</f>
        <v>365.70510182727895</v>
      </c>
      <c r="T190" s="62">
        <f t="shared" si="142"/>
        <v>436.23833844962525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22.027891198544989</v>
      </c>
      <c r="AA190" s="23">
        <f>EXP(-LN(2)/25)*AA189+(1-EXP(-LN(2)/25))/(LN(2)/25)*Calculateur!V190*Calculateur!X190*VLOOKUP('Données projet'!$B$9,Paramètres!$A$1:$I$89,3,0)*0.475*44/12</f>
        <v>1.1962472954941379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23.224138494039128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295.83974441964551</v>
      </c>
      <c r="AO190" s="62">
        <f t="shared" si="144"/>
        <v>212.24900914818096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24.56648418120859</v>
      </c>
      <c r="AV190" s="23">
        <f>EXP(-LN(2)/25)*AV189+(1-EXP(-LN(2)/25))/(LN(2)/25)*Calculateur!AQ190*Calculateur!AS190*VLOOKUP('Données projet'!$B$10,Paramètres!$A$1:$I$89,3,0)*0.475*44/12</f>
        <v>1.4458015450971802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26.01228572630577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-3.979039320256561E-13</v>
      </c>
      <c r="BE190" s="14">
        <f>BD190*VLOOKUP('Données projet'!$B$11,Paramètres!$A$1:$I$89,3,0)*VLOOKUP('Données projet'!$B$11,Paramètres!$A$1:$I$89,5,0)</f>
        <v>-1.9139179130434059E-13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206.96327004330573</v>
      </c>
      <c r="BJ190" s="62">
        <f t="shared" si="146"/>
        <v>106.52590664430284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32.628753558783394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1.5731254965706514E-12</v>
      </c>
      <c r="BS190" s="24">
        <f t="shared" si="169"/>
        <v>32.628753558784965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6.3550942286383367E-14</v>
      </c>
      <c r="P191" s="14">
        <f t="shared" si="141"/>
        <v>1.0064464192543978E-12</v>
      </c>
      <c r="Q191" s="22">
        <f t="shared" si="162"/>
        <v>1.8635787380168604E-12</v>
      </c>
      <c r="R191" s="62">
        <f t="shared" si="109"/>
        <v>293.33333333333519</v>
      </c>
      <c r="S191" s="62">
        <f ca="1">AVERAGE(OFFSET($R$3,0,0,'Données projet'!$E$9+1,1))-AVERAGE(OFFSET($H$3,0,0,'Données projet'!$E$9+1,1))</f>
        <v>365.70510182727895</v>
      </c>
      <c r="T191" s="62">
        <f t="shared" si="142"/>
        <v>436.23833844962525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21.595937687828489</v>
      </c>
      <c r="AA191" s="23">
        <f>EXP(-LN(2)/25)*AA190+(1-EXP(-LN(2)/25))/(LN(2)/25)*Calculateur!V191*Calculateur!X191*VLOOKUP('Données projet'!$B$9,Paramètres!$A$1:$I$89,3,0)*0.475*44/12</f>
        <v>1.1635358502909394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22.75947353811943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295.83974441964551</v>
      </c>
      <c r="AO191" s="62">
        <f t="shared" si="144"/>
        <v>212.24900914818096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24.084750410490887</v>
      </c>
      <c r="AV191" s="23">
        <f>EXP(-LN(2)/25)*AV190+(1-EXP(-LN(2)/25))/(LN(2)/25)*Calculateur!AQ191*Calculateur!AS191*VLOOKUP('Données projet'!$B$10,Paramètres!$A$1:$I$89,3,0)*0.475*44/12</f>
        <v>1.406266025815099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25.491016436305987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-3.979039320256561E-13</v>
      </c>
      <c r="BE191" s="14">
        <f>BD191*VLOOKUP('Données projet'!$B$11,Paramètres!$A$1:$I$89,3,0)*VLOOKUP('Données projet'!$B$11,Paramètres!$A$1:$I$89,5,0)</f>
        <v>-1.9139179130434059E-13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206.96327004330573</v>
      </c>
      <c r="BJ191" s="62">
        <f t="shared" si="146"/>
        <v>106.52590664430284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31.988923603070205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1.1123677062825625E-12</v>
      </c>
      <c r="BS191" s="24">
        <f t="shared" si="169"/>
        <v>31.988923603071317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6.3550942286383367E-14</v>
      </c>
      <c r="P192" s="14">
        <f t="shared" si="141"/>
        <v>1.0064464192543978E-12</v>
      </c>
      <c r="Q192" s="22">
        <f t="shared" si="162"/>
        <v>1.8635787380168604E-12</v>
      </c>
      <c r="R192" s="62">
        <f t="shared" si="109"/>
        <v>293.33333333333519</v>
      </c>
      <c r="S192" s="62">
        <f ca="1">AVERAGE(OFFSET($R$3,0,0,'Données projet'!$E$9+1,1))-AVERAGE(OFFSET($H$3,0,0,'Données projet'!$E$9+1,1))</f>
        <v>365.70510182727895</v>
      </c>
      <c r="T192" s="62">
        <f t="shared" si="142"/>
        <v>436.23833844962525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21.172454521991511</v>
      </c>
      <c r="AA192" s="23">
        <f>EXP(-LN(2)/25)*AA191+(1-EXP(-LN(2)/25))/(LN(2)/25)*Calculateur!V192*Calculateur!X192*VLOOKUP('Données projet'!$B$9,Paramètres!$A$1:$I$89,3,0)*0.475*44/12</f>
        <v>1.1317189012770426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22.304173423268555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295.83974441964551</v>
      </c>
      <c r="AO192" s="62">
        <f t="shared" si="144"/>
        <v>212.24900914818096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23.612463145188372</v>
      </c>
      <c r="AV192" s="23">
        <f>EXP(-LN(2)/25)*AV191+(1-EXP(-LN(2)/25))/(LN(2)/25)*Calculateur!AQ192*Calculateur!AS192*VLOOKUP('Données projet'!$B$10,Paramètres!$A$1:$I$89,3,0)*0.475*44/12</f>
        <v>1.3678116073868689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24.980274752575241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-3.979039320256561E-13</v>
      </c>
      <c r="BE192" s="14">
        <f>BD192*VLOOKUP('Données projet'!$B$11,Paramètres!$A$1:$I$89,3,0)*VLOOKUP('Données projet'!$B$11,Paramètres!$A$1:$I$89,5,0)</f>
        <v>-1.9139179130434059E-13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206.96327004330573</v>
      </c>
      <c r="BJ192" s="62">
        <f t="shared" si="146"/>
        <v>106.52590664430284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31.361640322530814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7.8656274828532568E-13</v>
      </c>
      <c r="BS192" s="24">
        <f t="shared" si="169"/>
        <v>31.361640322531599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6.3550942286383367E-14</v>
      </c>
      <c r="P193" s="14">
        <f t="shared" si="141"/>
        <v>1.0064464192543978E-12</v>
      </c>
      <c r="Q193" s="22">
        <f t="shared" si="162"/>
        <v>1.8635787380168604E-12</v>
      </c>
      <c r="R193" s="62">
        <f t="shared" si="109"/>
        <v>293.33333333333519</v>
      </c>
      <c r="S193" s="62">
        <f ca="1">AVERAGE(OFFSET($R$3,0,0,'Données projet'!$E$9+1,1))-AVERAGE(OFFSET($H$3,0,0,'Données projet'!$E$9+1,1))</f>
        <v>365.70510182727895</v>
      </c>
      <c r="T193" s="62">
        <f t="shared" si="142"/>
        <v>436.23833844962525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20.757275602737373</v>
      </c>
      <c r="AA193" s="23">
        <f>EXP(-LN(2)/25)*AA192+(1-EXP(-LN(2)/25))/(LN(2)/25)*Calculateur!V193*Calculateur!X193*VLOOKUP('Données projet'!$B$9,Paramètres!$A$1:$I$89,3,0)*0.475*44/12</f>
        <v>1.1007719884071114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21.858047591144484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295.83974441964551</v>
      </c>
      <c r="AO193" s="62">
        <f t="shared" si="144"/>
        <v>212.24900914818096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23.14943714509165</v>
      </c>
      <c r="AV193" s="23">
        <f>EXP(-LN(2)/25)*AV192+(1-EXP(-LN(2)/25))/(LN(2)/25)*Calculateur!AQ193*Calculateur!AS193*VLOOKUP('Données projet'!$B$10,Paramètres!$A$1:$I$89,3,0)*0.475*44/12</f>
        <v>1.3304087270527887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24.479845872144438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-3.979039320256561E-13</v>
      </c>
      <c r="BE193" s="14">
        <f>BD193*VLOOKUP('Données projet'!$B$11,Paramètres!$A$1:$I$89,3,0)*VLOOKUP('Données projet'!$B$11,Paramètres!$A$1:$I$89,5,0)</f>
        <v>-1.9139179130434059E-13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206.96327004330573</v>
      </c>
      <c r="BJ193" s="62">
        <f t="shared" si="146"/>
        <v>106.52590664430284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30.746657684517778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5.5618385314128124E-13</v>
      </c>
      <c r="BS193" s="24">
        <f t="shared" si="169"/>
        <v>30.746657684518336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6.3550942286383367E-14</v>
      </c>
      <c r="P194" s="14">
        <f t="shared" si="141"/>
        <v>1.0064464192543978E-12</v>
      </c>
      <c r="Q194" s="22">
        <f t="shared" si="162"/>
        <v>1.8635787380168604E-12</v>
      </c>
      <c r="R194" s="62">
        <f t="shared" si="109"/>
        <v>293.33333333333519</v>
      </c>
      <c r="S194" s="62">
        <f ca="1">AVERAGE(OFFSET($R$3,0,0,'Données projet'!$E$9+1,1))-AVERAGE(OFFSET($H$3,0,0,'Données projet'!$E$9+1,1))</f>
        <v>365.70510182727895</v>
      </c>
      <c r="T194" s="62">
        <f t="shared" si="142"/>
        <v>436.23833844962525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20.350238088855672</v>
      </c>
      <c r="AA194" s="23">
        <f>EXP(-LN(2)/25)*AA193+(1-EXP(-LN(2)/25))/(LN(2)/25)*Calculateur!V194*Calculateur!X194*VLOOKUP('Données projet'!$B$9,Paramètres!$A$1:$I$89,3,0)*0.475*44/12</f>
        <v>1.0706713204970359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21.42090940935271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295.83974441964551</v>
      </c>
      <c r="AO194" s="62">
        <f t="shared" si="144"/>
        <v>212.24900914818096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22.695490802438851</v>
      </c>
      <c r="AV194" s="23">
        <f>EXP(-LN(2)/25)*AV193+(1-EXP(-LN(2)/25))/(LN(2)/25)*Calculateur!AQ194*Calculateur!AS194*VLOOKUP('Données projet'!$B$10,Paramètres!$A$1:$I$89,3,0)*0.475*44/12</f>
        <v>1.2940286304483759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23.989519432887228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-3.979039320256561E-13</v>
      </c>
      <c r="BE194" s="14">
        <f>BD194*VLOOKUP('Données projet'!$B$11,Paramètres!$A$1:$I$89,3,0)*VLOOKUP('Données projet'!$B$11,Paramètres!$A$1:$I$89,5,0)</f>
        <v>-1.9139179130434059E-13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206.96327004330573</v>
      </c>
      <c r="BJ194" s="62">
        <f t="shared" si="146"/>
        <v>106.52590664430284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30.143734480933809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3.9328137414266284E-13</v>
      </c>
      <c r="BS194" s="24">
        <f t="shared" si="169"/>
        <v>30.143734480934203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6.3550942286383367E-14</v>
      </c>
      <c r="P195" s="14">
        <f t="shared" si="141"/>
        <v>1.0064464192543978E-12</v>
      </c>
      <c r="Q195" s="22">
        <f t="shared" si="162"/>
        <v>1.8635787380168604E-12</v>
      </c>
      <c r="R195" s="62">
        <f t="shared" ref="R195:R203" si="191">Q195+(I195+J195)*44/12</f>
        <v>293.33333333333519</v>
      </c>
      <c r="S195" s="62">
        <f ca="1">AVERAGE(OFFSET($R$3,0,0,'Données projet'!$E$9+1,1))-AVERAGE(OFFSET($H$3,0,0,'Données projet'!$E$9+1,1))</f>
        <v>365.70510182727895</v>
      </c>
      <c r="T195" s="62">
        <f t="shared" si="142"/>
        <v>436.23833844962525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19.951182332352822</v>
      </c>
      <c r="AA195" s="23">
        <f>EXP(-LN(2)/25)*AA194+(1-EXP(-LN(2)/25))/(LN(2)/25)*Calculateur!V195*Calculateur!X195*VLOOKUP('Données projet'!$B$9,Paramètres!$A$1:$I$89,3,0)*0.475*44/12</f>
        <v>1.0413937569338869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20.992576089286707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295.83974441964551</v>
      </c>
      <c r="AO195" s="62">
        <f t="shared" si="144"/>
        <v>212.24900914818096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22.250446070685545</v>
      </c>
      <c r="AV195" s="23">
        <f>EXP(-LN(2)/25)*AV194+(1-EXP(-LN(2)/25))/(LN(2)/25)*Calculateur!AQ195*Calculateur!AS195*VLOOKUP('Données projet'!$B$10,Paramètres!$A$1:$I$89,3,0)*0.475*44/12</f>
        <v>1.258643349498757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23.509089420184303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-3.979039320256561E-13</v>
      </c>
      <c r="BE195" s="14">
        <f>BD195*VLOOKUP('Données projet'!$B$11,Paramètres!$A$1:$I$89,3,0)*VLOOKUP('Données projet'!$B$11,Paramètres!$A$1:$I$89,5,0)</f>
        <v>-1.9139179130434059E-13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206.96327004330573</v>
      </c>
      <c r="BJ195" s="62">
        <f t="shared" si="146"/>
        <v>106.52590664430284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29.552634233625277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2.7809192657064062E-13</v>
      </c>
      <c r="BS195" s="24">
        <f t="shared" si="169"/>
        <v>29.552634233625554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6.3550942286383367E-14</v>
      </c>
      <c r="P196" s="14">
        <f t="shared" si="141"/>
        <v>1.0064464192543978E-12</v>
      </c>
      <c r="Q196" s="22">
        <f t="shared" si="162"/>
        <v>1.8635787380168604E-12</v>
      </c>
      <c r="R196" s="62">
        <f t="shared" si="191"/>
        <v>293.33333333333519</v>
      </c>
      <c r="S196" s="62">
        <f ca="1">AVERAGE(OFFSET($R$3,0,0,'Données projet'!$E$9+1,1))-AVERAGE(OFFSET($H$3,0,0,'Données projet'!$E$9+1,1))</f>
        <v>365.70510182727895</v>
      </c>
      <c r="T196" s="62">
        <f t="shared" si="142"/>
        <v>436.23833844962525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19.559951815835014</v>
      </c>
      <c r="AA196" s="23">
        <f>EXP(-LN(2)/25)*AA195+(1-EXP(-LN(2)/25))/(LN(2)/25)*Calculateur!V196*Calculateur!X196*VLOOKUP('Données projet'!$B$9,Paramètres!$A$1:$I$89,3,0)*0.475*44/12</f>
        <v>1.0129167898860123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20.572868605721027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295.83974441964551</v>
      </c>
      <c r="AO196" s="62">
        <f t="shared" si="144"/>
        <v>212.24900914818096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21.814128394671435</v>
      </c>
      <c r="AV196" s="23">
        <f>EXP(-LN(2)/25)*AV195+(1-EXP(-LN(2)/25))/(LN(2)/25)*Calculateur!AQ196*Calculateur!AS196*VLOOKUP('Données projet'!$B$10,Paramètres!$A$1:$I$89,3,0)*0.475*44/12</f>
        <v>1.2242256809175365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23.038354075588973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-3.979039320256561E-13</v>
      </c>
      <c r="BE196" s="14">
        <f>BD196*VLOOKUP('Données projet'!$B$11,Paramètres!$A$1:$I$89,3,0)*VLOOKUP('Données projet'!$B$11,Paramètres!$A$1:$I$89,5,0)</f>
        <v>-1.9139179130434059E-13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206.96327004330573</v>
      </c>
      <c r="BJ196" s="62">
        <f t="shared" si="146"/>
        <v>106.52590664430284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28.973125101630913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1.9664068707133142E-13</v>
      </c>
      <c r="BS196" s="24">
        <f t="shared" si="169"/>
        <v>28.973125101631108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6.3550942286383367E-14</v>
      </c>
      <c r="P197" s="14">
        <f t="shared" ref="P197:P203" si="203">EXP(-1.0587+0.8836*LN(O197)+0.284)</f>
        <v>1.0064464192543978E-12</v>
      </c>
      <c r="Q197" s="22">
        <f t="shared" si="162"/>
        <v>1.8635787380168604E-12</v>
      </c>
      <c r="R197" s="62">
        <f t="shared" si="191"/>
        <v>293.33333333333519</v>
      </c>
      <c r="S197" s="62">
        <f ca="1">AVERAGE(OFFSET($R$3,0,0,'Données projet'!$E$9+1,1))-AVERAGE(OFFSET($H$3,0,0,'Données projet'!$E$9+1,1))</f>
        <v>365.70510182727895</v>
      </c>
      <c r="T197" s="62">
        <f t="shared" ref="T197:T203" si="204">$T$3</f>
        <v>436.23833844962525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19.176393091119067</v>
      </c>
      <c r="AA197" s="23">
        <f>EXP(-LN(2)/25)*AA196+(1-EXP(-LN(2)/25))/(LN(2)/25)*Calculateur!V197*Calculateur!X197*VLOOKUP('Données projet'!$B$9,Paramètres!$A$1:$I$89,3,0)*0.475*44/12</f>
        <v>0.98521852699960033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20.161611618118666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295.83974441964551</v>
      </c>
      <c r="AO197" s="62">
        <f t="shared" ref="AO197:AO203" si="205">$AO$3</f>
        <v>212.24900914818096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21.38636664215646</v>
      </c>
      <c r="AV197" s="23">
        <f>EXP(-LN(2)/25)*AV196+(1-EXP(-LN(2)/25))/(LN(2)/25)*Calculateur!AQ197*Calculateur!AS197*VLOOKUP('Données projet'!$B$10,Paramètres!$A$1:$I$89,3,0)*0.475*44/12</f>
        <v>1.190749165293616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22.577115807450078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-3.979039320256561E-13</v>
      </c>
      <c r="BE197" s="14">
        <f>BD197*VLOOKUP('Données projet'!$B$11,Paramètres!$A$1:$I$89,3,0)*VLOOKUP('Données projet'!$B$11,Paramètres!$A$1:$I$89,5,0)</f>
        <v>-1.9139179130434059E-13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206.96327004330573</v>
      </c>
      <c r="BJ197" s="62">
        <f t="shared" ref="BJ197:BJ203" si="206">$BJ$3</f>
        <v>106.52590664430284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28.404979790249293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1.3904596328532031E-13</v>
      </c>
      <c r="BS197" s="24">
        <f t="shared" si="169"/>
        <v>28.404979790249431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6.3550942286383367E-14</v>
      </c>
      <c r="P198" s="14">
        <f t="shared" si="203"/>
        <v>1.0064464192543978E-12</v>
      </c>
      <c r="Q198" s="22">
        <f t="shared" si="162"/>
        <v>1.8635787380168604E-12</v>
      </c>
      <c r="R198" s="62">
        <f t="shared" si="191"/>
        <v>293.33333333333519</v>
      </c>
      <c r="S198" s="62">
        <f ca="1">AVERAGE(OFFSET($R$3,0,0,'Données projet'!$E$9+1,1))-AVERAGE(OFFSET($H$3,0,0,'Données projet'!$E$9+1,1))</f>
        <v>365.70510182727895</v>
      </c>
      <c r="T198" s="62">
        <f t="shared" si="204"/>
        <v>436.23833844962525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18.800355719047079</v>
      </c>
      <c r="AA198" s="23">
        <f>EXP(-LN(2)/25)*AA197+(1-EXP(-LN(2)/25))/(LN(2)/25)*Calculateur!V198*Calculateur!X198*VLOOKUP('Données projet'!$B$9,Paramètres!$A$1:$I$89,3,0)*0.475*44/12</f>
        <v>0.95827767456840562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19.758633393615487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295.83974441964551</v>
      </c>
      <c r="AO198" s="62">
        <f t="shared" si="205"/>
        <v>212.24900914818096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20.966993036699396</v>
      </c>
      <c r="AV198" s="23">
        <f>EXP(-LN(2)/25)*AV197+(1-EXP(-LN(2)/25))/(LN(2)/25)*Calculateur!AQ198*Calculateur!AS198*VLOOKUP('Données projet'!$B$10,Paramètres!$A$1:$I$89,3,0)*0.475*44/12</f>
        <v>1.1581880667498849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22.125181103449282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-3.979039320256561E-13</v>
      </c>
      <c r="BE198" s="14">
        <f>BD198*VLOOKUP('Données projet'!$B$11,Paramètres!$A$1:$I$89,3,0)*VLOOKUP('Données projet'!$B$11,Paramètres!$A$1:$I$89,5,0)</f>
        <v>-1.9139179130434059E-13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206.96327004330573</v>
      </c>
      <c r="BJ198" s="62">
        <f t="shared" si="206"/>
        <v>106.52590664430284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27.84797546188944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9.832034353566571E-14</v>
      </c>
      <c r="BS198" s="24">
        <f t="shared" si="169"/>
        <v>27.84797546188954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6.3550942286383367E-14</v>
      </c>
      <c r="P199" s="14">
        <f t="shared" si="203"/>
        <v>1.0064464192543978E-12</v>
      </c>
      <c r="Q199" s="22">
        <f t="shared" si="162"/>
        <v>1.8635787380168604E-12</v>
      </c>
      <c r="R199" s="62">
        <f t="shared" si="191"/>
        <v>293.33333333333519</v>
      </c>
      <c r="S199" s="62">
        <f ca="1">AVERAGE(OFFSET($R$3,0,0,'Données projet'!$E$9+1,1))-AVERAGE(OFFSET($H$3,0,0,'Données projet'!$E$9+1,1))</f>
        <v>365.70510182727895</v>
      </c>
      <c r="T199" s="62">
        <f t="shared" si="204"/>
        <v>436.23833844962525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18.431692210481273</v>
      </c>
      <c r="AA199" s="23">
        <f>EXP(-LN(2)/25)*AA198+(1-EXP(-LN(2)/25))/(LN(2)/25)*Calculateur!V199*Calculateur!X199*VLOOKUP('Données projet'!$B$9,Paramètres!$A$1:$I$89,3,0)*0.475*44/12</f>
        <v>0.93207352116369979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19.363765731644975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295.83974441964551</v>
      </c>
      <c r="AO199" s="62">
        <f t="shared" si="205"/>
        <v>212.24900914818096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20.555843091852704</v>
      </c>
      <c r="AV199" s="23">
        <f>EXP(-LN(2)/25)*AV198+(1-EXP(-LN(2)/25))/(LN(2)/25)*Calculateur!AQ199*Calculateur!AS199*VLOOKUP('Données projet'!$B$10,Paramètres!$A$1:$I$89,3,0)*0.475*44/12</f>
        <v>1.1265173531581461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21.68236044501085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-3.979039320256561E-13</v>
      </c>
      <c r="BE199" s="14">
        <f>BD199*VLOOKUP('Données projet'!$B$11,Paramètres!$A$1:$I$89,3,0)*VLOOKUP('Données projet'!$B$11,Paramètres!$A$1:$I$89,5,0)</f>
        <v>-1.9139179130434059E-13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206.96327004330573</v>
      </c>
      <c r="BJ199" s="62">
        <f t="shared" si="206"/>
        <v>106.52590664430284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27.301893648669633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6.9522981642660155E-14</v>
      </c>
      <c r="BS199" s="24">
        <f t="shared" si="169"/>
        <v>27.301893648669704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6.3550942286383367E-14</v>
      </c>
      <c r="P200" s="14">
        <f t="shared" si="203"/>
        <v>1.0064464192543978E-12</v>
      </c>
      <c r="Q200" s="22">
        <f t="shared" si="162"/>
        <v>1.8635787380168604E-12</v>
      </c>
      <c r="R200" s="62">
        <f t="shared" si="191"/>
        <v>293.33333333333519</v>
      </c>
      <c r="S200" s="62">
        <f ca="1">AVERAGE(OFFSET($R$3,0,0,'Données projet'!$E$9+1,1))-AVERAGE(OFFSET($H$3,0,0,'Données projet'!$E$9+1,1))</f>
        <v>365.70510182727895</v>
      </c>
      <c r="T200" s="62">
        <f t="shared" si="204"/>
        <v>436.23833844962525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18.070257968455905</v>
      </c>
      <c r="AA200" s="23">
        <f>EXP(-LN(2)/25)*AA199+(1-EXP(-LN(2)/25))/(LN(2)/25)*Calculateur!V200*Calculateur!X200*VLOOKUP('Données projet'!$B$9,Paramètres!$A$1:$I$89,3,0)*0.475*44/12</f>
        <v>0.90658592171186225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18.976843890167768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295.83974441964551</v>
      </c>
      <c r="AO200" s="62">
        <f t="shared" si="205"/>
        <v>212.24900914818096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20.15275554664775</v>
      </c>
      <c r="AV200" s="23">
        <f>EXP(-LN(2)/25)*AV199+(1-EXP(-LN(2)/25))/(LN(2)/25)*Calculateur!AQ200*Calculateur!AS200*VLOOKUP('Données projet'!$B$10,Paramètres!$A$1:$I$89,3,0)*0.475*44/12</f>
        <v>1.0957126768950636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21.248468223542815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-3.979039320256561E-13</v>
      </c>
      <c r="BE200" s="14">
        <f>BD200*VLOOKUP('Données projet'!$B$11,Paramètres!$A$1:$I$89,3,0)*VLOOKUP('Données projet'!$B$11,Paramètres!$A$1:$I$89,5,0)</f>
        <v>-1.9139179130434059E-13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206.96327004330573</v>
      </c>
      <c r="BJ200" s="62">
        <f t="shared" si="206"/>
        <v>106.52590664430284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26.76652016673005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4.9160171767832855E-14</v>
      </c>
      <c r="BS200" s="24">
        <f t="shared" si="169"/>
        <v>26.7665201667301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6.3550942286383367E-14</v>
      </c>
      <c r="P201" s="14">
        <f t="shared" si="203"/>
        <v>1.0064464192543978E-12</v>
      </c>
      <c r="Q201" s="22">
        <f t="shared" si="162"/>
        <v>1.8635787380168604E-12</v>
      </c>
      <c r="R201" s="62">
        <f t="shared" si="191"/>
        <v>293.33333333333519</v>
      </c>
      <c r="S201" s="62">
        <f ca="1">AVERAGE(OFFSET($R$3,0,0,'Données projet'!$E$9+1,1))-AVERAGE(OFFSET($H$3,0,0,'Données projet'!$E$9+1,1))</f>
        <v>365.70510182727895</v>
      </c>
      <c r="T201" s="62">
        <f t="shared" si="204"/>
        <v>436.23833844962525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17.715911231463537</v>
      </c>
      <c r="AA201" s="23">
        <f>EXP(-LN(2)/25)*AA200+(1-EXP(-LN(2)/25))/(LN(2)/25)*Calculateur!V201*Calculateur!X201*VLOOKUP('Données projet'!$B$9,Paramètres!$A$1:$I$89,3,0)*0.475*44/12</f>
        <v>0.88179528200736979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18.597706513470907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295.83974441964551</v>
      </c>
      <c r="AO201" s="62">
        <f t="shared" si="205"/>
        <v>212.24900914818096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19.757572302345139</v>
      </c>
      <c r="AV201" s="23">
        <f>EXP(-LN(2)/25)*AV200+(1-EXP(-LN(2)/25))/(LN(2)/25)*Calculateur!AQ201*Calculateur!AS201*VLOOKUP('Données projet'!$B$10,Paramètres!$A$1:$I$89,3,0)*0.475*44/12</f>
        <v>1.0657503561243427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20.823322658469483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-3.979039320256561E-13</v>
      </c>
      <c r="BE201" s="14">
        <f>BD201*VLOOKUP('Données projet'!$B$11,Paramètres!$A$1:$I$89,3,0)*VLOOKUP('Données projet'!$B$11,Paramètres!$A$1:$I$89,5,0)</f>
        <v>-1.9139179130434059E-13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206.96327004330573</v>
      </c>
      <c r="BJ201" s="62">
        <f t="shared" si="206"/>
        <v>106.52590664430284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26.241645032225719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3.4761490821330078E-14</v>
      </c>
      <c r="BS201" s="24">
        <f t="shared" si="169"/>
        <v>26.241645032225755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6.3550942286383367E-14</v>
      </c>
      <c r="P202" s="14">
        <f t="shared" si="203"/>
        <v>1.0064464192543978E-12</v>
      </c>
      <c r="Q202" s="22">
        <f t="shared" si="162"/>
        <v>1.8635787380168604E-12</v>
      </c>
      <c r="R202" s="62">
        <f t="shared" si="191"/>
        <v>293.33333333333519</v>
      </c>
      <c r="S202" s="62">
        <f ca="1">AVERAGE(OFFSET($R$3,0,0,'Données projet'!$E$9+1,1))-AVERAGE(OFFSET($H$3,0,0,'Données projet'!$E$9+1,1))</f>
        <v>365.70510182727895</v>
      </c>
      <c r="T202" s="62">
        <f t="shared" si="204"/>
        <v>436.23833844962525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17.36851301785342</v>
      </c>
      <c r="AA202" s="23">
        <f>EXP(-LN(2)/25)*AA201+(1-EXP(-LN(2)/25))/(LN(2)/25)*Calculateur!V202*Calculateur!X202*VLOOKUP('Données projet'!$B$9,Paramètres!$A$1:$I$89,3,0)*0.475*44/12</f>
        <v>0.85768254364927976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18.226195561502699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295.83974441964551</v>
      </c>
      <c r="AO202" s="62">
        <f t="shared" si="205"/>
        <v>212.24900914818096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19.370138360425326</v>
      </c>
      <c r="AV202" s="23">
        <f>EXP(-LN(2)/25)*AV201+(1-EXP(-LN(2)/25))/(LN(2)/25)*Calculateur!AQ202*Calculateur!AS202*VLOOKUP('Données projet'!$B$10,Paramètres!$A$1:$I$89,3,0)*0.475*44/12</f>
        <v>1.036607356590747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20.406745717016072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-3.979039320256561E-13</v>
      </c>
      <c r="BE202" s="14">
        <f>BD202*VLOOKUP('Données projet'!$B$11,Paramètres!$A$1:$I$89,3,0)*VLOOKUP('Données projet'!$B$11,Paramètres!$A$1:$I$89,5,0)</f>
        <v>-1.9139179130434059E-13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206.96327004330573</v>
      </c>
      <c r="BJ202" s="62">
        <f t="shared" si="206"/>
        <v>106.52590664430284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25.727062378966799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2.4580085883916428E-14</v>
      </c>
      <c r="BS202" s="24">
        <f t="shared" si="169"/>
        <v>25.727062378966824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6.3550942286383367E-14</v>
      </c>
      <c r="P203" s="14">
        <f t="shared" si="203"/>
        <v>1.0064464192543978E-12</v>
      </c>
      <c r="Q203" s="22">
        <f t="shared" si="162"/>
        <v>1.8635787380168604E-12</v>
      </c>
      <c r="R203" s="62">
        <f t="shared" si="191"/>
        <v>293.33333333333519</v>
      </c>
      <c r="S203" s="62">
        <f ca="1">AVERAGE(OFFSET($R$3,0,0,'Données projet'!$E$9+1,1))-AVERAGE(OFFSET($H$3,0,0,'Données projet'!$E$9+1,1))</f>
        <v>365.70510182727895</v>
      </c>
      <c r="T203" s="62">
        <f t="shared" si="204"/>
        <v>436.23833844962525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17.02792707132021</v>
      </c>
      <c r="AA203" s="23">
        <f>EXP(-LN(2)/25)*AA202+(1-EXP(-LN(2)/25))/(LN(2)/25)*Calculateur!V203*Calculateur!X203*VLOOKUP('Données projet'!$B$9,Paramètres!$A$1:$I$89,3,0)*0.475*44/12</f>
        <v>0.83422916938962555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17.862156240709837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295.83974441964551</v>
      </c>
      <c r="AO203" s="62">
        <f t="shared" si="205"/>
        <v>212.24900914818096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18.990301761795187</v>
      </c>
      <c r="AV203" s="23">
        <f>EXP(-LN(2)/25)*AV202+(1-EXP(-LN(2)/25))/(LN(2)/25)*Calculateur!AQ203*Calculateur!AS203*VLOOKUP('Données projet'!$B$10,Paramètres!$A$1:$I$89,3,0)*0.475*44/12</f>
        <v>1.0082612739119614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19.99856303570715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-3.979039320256561E-13</v>
      </c>
      <c r="BE203" s="14">
        <f>BD203*VLOOKUP('Données projet'!$B$11,Paramètres!$A$1:$I$89,3,0)*VLOOKUP('Données projet'!$B$11,Paramètres!$A$1:$I$89,5,0)</f>
        <v>-1.9139179130434059E-13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206.96327004330573</v>
      </c>
      <c r="BJ203" s="62">
        <f t="shared" si="206"/>
        <v>106.52590664430284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25.222570377673858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1.7380745410665039E-14</v>
      </c>
      <c r="BS203" s="24">
        <f t="shared" si="169"/>
        <v>25.222570377673875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1.2475727214128975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1.1932635389591795</v>
      </c>
      <c r="BA205" s="88">
        <f>EXP(LN('Données projet'!B88)/'Données projet'!A88)</f>
        <v>1.0877775569940897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0.99450000000000005</v>
      </c>
      <c r="C6" s="156">
        <f ca="1">IF(OR('Données projet'!B9="",'Données projet'!C9="",'Données projet'!C9=0%),0,Calculateur!S3)</f>
        <v>365.70510182727895</v>
      </c>
      <c r="D6" s="156">
        <f>IF(OR('Données projet'!B9="",'Données projet'!C9="",'Données projet'!C9=0%),0,Calculateur!T3)</f>
        <v>436.23833844962525</v>
      </c>
      <c r="E6" s="156">
        <f ca="1">MIN(C6,D6)</f>
        <v>365.70510182727895</v>
      </c>
      <c r="F6" s="156">
        <f ca="1">E6*B6</f>
        <v>363.69372376722896</v>
      </c>
      <c r="G6" s="156">
        <f ca="1">F6*(100%-'Données projet'!$C$24)*(100%-'Données projet'!$C$25)*(100%-'Données projet'!$C$26)*(100%-'Données projet'!$C$27)</f>
        <v>327.32435139050608</v>
      </c>
      <c r="H6" s="157">
        <f>IF(OR('Données projet'!B9="",'Données projet'!C9="",'Données projet'!C9=0%),0,AVERAGE(Calculateur!$AC$3:$AC$33)*B6)</f>
        <v>1.5708126906919104</v>
      </c>
      <c r="I6" s="158">
        <f>H6*(100%-'Données projet'!$C$24)*(100%-'Données projet'!$C$25)*(100%-'Données projet'!$C$26)*(100%-'Données projet'!$C$27)</f>
        <v>1.4137314216227195</v>
      </c>
      <c r="J6" s="159">
        <f>IF(OR('Données projet'!B9="",'Données projet'!C9="",'Données projet'!C9=0%),0,SUM(Calculateur!$V$3:$V$33)*VLOOKUP('Données projet'!$B$9,Paramètres!$A$1:$I$89,9,0)*B6)</f>
        <v>23.947559999999999</v>
      </c>
      <c r="K6" s="160">
        <f>J6*(100%-'Données projet'!$C$24)*(100%-'Données projet'!$C$25)*(100%-'Données projet'!$C$26)*(100%-'Données projet'!$C$27)</f>
        <v>21.552803999999998</v>
      </c>
      <c r="L6" s="161">
        <f ca="1">G6+I6+K6</f>
        <v>350.2908868121288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laricio</v>
      </c>
      <c r="B7" s="163">
        <f>'Données projet'!D10</f>
        <v>3.74</v>
      </c>
      <c r="C7" s="156">
        <f ca="1">IF(OR('Données projet'!B10="",'Données projet'!C10="",'Données projet'!C10=0%),0,Calculateur!AN3)</f>
        <v>295.83974441964551</v>
      </c>
      <c r="D7" s="156">
        <f>IF(OR('Données projet'!B10="",'Données projet'!C10="",'Données projet'!C10=0%),0,Calculateur!AO3)</f>
        <v>212.24900914818096</v>
      </c>
      <c r="E7" s="156">
        <f t="shared" ref="E7:E15" ca="1" si="0">MIN(C7,D7)</f>
        <v>212.24900914818096</v>
      </c>
      <c r="F7" s="156">
        <f t="shared" ref="F7:F15" ca="1" si="1">E7*B7</f>
        <v>793.81129421419689</v>
      </c>
      <c r="G7" s="156">
        <f ca="1">F7*(100%-'Données projet'!$C$24)*(100%-'Données projet'!$C$25)*(100%-'Données projet'!$C$26)*(100%-'Données projet'!$C$27)</f>
        <v>714.43016479277719</v>
      </c>
      <c r="H7" s="164">
        <f>IF(OR('Données projet'!B10="",'Données projet'!C10="",'Données projet'!C10=0%),0,AVERAGE(Calculateur!$AX$3:$AX$33)*B7)</f>
        <v>3.0279020135934651</v>
      </c>
      <c r="I7" s="158">
        <f>H7*(100%-'Données projet'!$C$24)*(100%-'Données projet'!$C$25)*(100%-'Données projet'!$C$26)*(100%-'Données projet'!$C$27)</f>
        <v>2.7251118122341187</v>
      </c>
      <c r="J7" s="159">
        <f>IF(OR('Données projet'!B10="",'Données projet'!C10="",'Données projet'!C10=0%),0,SUM(Calculateur!$AQ$3:$AQ$33)*VLOOKUP('Données projet'!$B$10,Paramètres!$A$1:$I$89,9,0)*B7)</f>
        <v>45.029600000000002</v>
      </c>
      <c r="K7" s="160">
        <f>J7*(100%-'Données projet'!$C$24)*(100%-'Données projet'!$C$25)*(100%-'Données projet'!$C$26)*(100%-'Données projet'!$C$27)</f>
        <v>40.52664</v>
      </c>
      <c r="L7" s="161">
        <f t="shared" ref="L7:L15" ca="1" si="2">G7+I7+K7</f>
        <v>757.68191660501134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Sapin de Nordmann</v>
      </c>
      <c r="B8" s="163">
        <f>'Données projet'!D11</f>
        <v>3.74</v>
      </c>
      <c r="C8" s="156">
        <f ca="1">IF(OR('Données projet'!B11="",'Données projet'!C11="",'Données projet'!C11=0%),0,Calculateur!BI3)</f>
        <v>206.96327004330573</v>
      </c>
      <c r="D8" s="156">
        <f>IF(OR('Données projet'!B11="",'Données projet'!C11="",'Données projet'!C11=0%),0,Calculateur!BJ3)</f>
        <v>106.52590664430284</v>
      </c>
      <c r="E8" s="156">
        <f t="shared" ca="1" si="0"/>
        <v>106.52590664430284</v>
      </c>
      <c r="F8" s="156">
        <f t="shared" ca="1" si="1"/>
        <v>398.40689084969262</v>
      </c>
      <c r="G8" s="156">
        <f ca="1">F8*(100%-'Données projet'!$C$24)*(100%-'Données projet'!$C$25)*(100%-'Données projet'!$C$26)*(100%-'Données projet'!$C$27)</f>
        <v>358.56620176472336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358.56620176472336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1555.9119088311186</v>
      </c>
      <c r="G16" s="175">
        <f t="shared" ca="1" si="3"/>
        <v>1400.3207179480064</v>
      </c>
      <c r="H16" s="176">
        <f t="shared" si="3"/>
        <v>4.598714704285376</v>
      </c>
      <c r="I16" s="176">
        <f t="shared" si="3"/>
        <v>4.1388432338568384</v>
      </c>
      <c r="J16" s="177">
        <f t="shared" si="3"/>
        <v>68.977159999999998</v>
      </c>
      <c r="K16" s="177">
        <f t="shared" si="3"/>
        <v>62.079443999999995</v>
      </c>
      <c r="L16" s="178">
        <f t="shared" ca="1" si="3"/>
        <v>1466.5390051818636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Sapin de Nordmann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" zoomScale="90" zoomScaleNormal="90" workbookViewId="0">
      <selection activeCell="T12" sqref="T1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505.08122185334969</v>
      </c>
      <c r="U10" s="190">
        <f>'Données projet'!D9</f>
        <v>0.99450000000000005</v>
      </c>
      <c r="V10" s="189">
        <f>U10*T10</f>
        <v>502.30327513315632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-1925.4397598163002</v>
      </c>
      <c r="U11" s="190">
        <f>'Données projet'!D10</f>
        <v>3.74</v>
      </c>
      <c r="V11" s="189">
        <f t="shared" ref="V11" si="0">U11*T11</f>
        <v>-7201.1447017129631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Sapin de Nordmann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-2802.2269494875372</v>
      </c>
      <c r="U12" s="190">
        <f>'Données projet'!D11</f>
        <v>3.74</v>
      </c>
      <c r="V12" s="189">
        <f t="shared" ref="V12:V19" si="1">U12*T12</f>
        <v>-10480.32879108339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3164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2201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23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650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-40729.20895506657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14</v>
      </c>
      <c r="C24" s="206">
        <v>8</v>
      </c>
      <c r="D24" s="194">
        <f t="shared" ref="D24:D42" si="2">B24*C24</f>
        <v>112</v>
      </c>
      <c r="E24" s="206"/>
      <c r="F24" s="264"/>
      <c r="H24" s="203">
        <v>4</v>
      </c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14713.854985979971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42</v>
      </c>
      <c r="C25" s="206">
        <v>25</v>
      </c>
      <c r="D25" s="194">
        <f t="shared" si="2"/>
        <v>1050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80</v>
      </c>
      <c r="Q25" s="265"/>
      <c r="R25" s="25"/>
      <c r="S25" s="198" t="s">
        <v>266</v>
      </c>
      <c r="T25" s="341">
        <f ca="1">T23-T24</f>
        <v>-55443.063941046537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49</v>
      </c>
      <c r="C26" s="206">
        <v>33</v>
      </c>
      <c r="D26" s="194">
        <f t="shared" si="2"/>
        <v>1617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58</v>
      </c>
      <c r="C27" s="206">
        <v>42</v>
      </c>
      <c r="D27" s="194">
        <f t="shared" si="2"/>
        <v>2436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57</v>
      </c>
      <c r="C28" s="206">
        <v>46</v>
      </c>
      <c r="D28" s="194">
        <f t="shared" si="2"/>
        <v>2622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42</v>
      </c>
      <c r="C29" s="206">
        <v>46</v>
      </c>
      <c r="D29" s="194">
        <f t="shared" si="2"/>
        <v>1932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37</v>
      </c>
      <c r="C30" s="206">
        <v>46</v>
      </c>
      <c r="D30" s="194">
        <f t="shared" si="2"/>
        <v>1702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1731.0417630564673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567</v>
      </c>
      <c r="C31" s="206">
        <v>46</v>
      </c>
      <c r="D31" s="194">
        <f t="shared" si="2"/>
        <v>26082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80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76.555023923444978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73.258396098990417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70.103728324392748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67.084907487457187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64.19608372005473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61.431659062253345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58.786276614596495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56.254810157508629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53.832354217711611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51.51421456240346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49.295899102778435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47.173109189261666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45.141731281590111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43.197828977598206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3048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41.337635385261436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39.557545823216699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37.854110835614065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36.224029507764662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34.664143069631258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33.171428774766767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27</v>
      </c>
      <c r="B54" s="193">
        <f>'Données projet'!D62</f>
        <v>15</v>
      </c>
      <c r="C54" s="204">
        <v>8</v>
      </c>
      <c r="D54" s="191">
        <f>B54*C54</f>
        <v>120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31.742994042839005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13</v>
      </c>
      <c r="C55" s="204">
        <v>8</v>
      </c>
      <c r="D55" s="191">
        <f t="shared" ref="D55:D73" si="4">B55*C55</f>
        <v>104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30.376070854391404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23</v>
      </c>
      <c r="C56" s="204">
        <v>16.8</v>
      </c>
      <c r="D56" s="191">
        <f t="shared" si="4"/>
        <v>386.40000000000003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29.068010386977416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34</v>
      </c>
      <c r="C57" s="204">
        <v>21.2</v>
      </c>
      <c r="D57" s="191">
        <f t="shared" si="4"/>
        <v>720.8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27.816277882275045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50</v>
      </c>
      <c r="B58" s="193">
        <f>'Données projet'!D66</f>
        <v>79</v>
      </c>
      <c r="C58" s="204">
        <v>25.6</v>
      </c>
      <c r="D58" s="191">
        <f t="shared" si="4"/>
        <v>2022.4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26.618447734234497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60</v>
      </c>
      <c r="B59" s="193">
        <f>'Données projet'!D67</f>
        <v>88</v>
      </c>
      <c r="C59" s="204">
        <v>27.8</v>
      </c>
      <c r="D59" s="191">
        <f t="shared" si="4"/>
        <v>2446.4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25.472198788741153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70</v>
      </c>
      <c r="B60" s="193">
        <f>'Données projet'!D68</f>
        <v>78</v>
      </c>
      <c r="C60" s="204">
        <v>28</v>
      </c>
      <c r="D60" s="191">
        <f t="shared" si="4"/>
        <v>2184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24.375309845685312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80</v>
      </c>
      <c r="B61" s="193">
        <f>'Données projet'!D69</f>
        <v>460</v>
      </c>
      <c r="C61" s="204">
        <v>28</v>
      </c>
      <c r="D61" s="191">
        <f t="shared" si="4"/>
        <v>12880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23.325655354722791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22.321201296385443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21.360001240560241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20.440192574698791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19.559992894448612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18.717696549711594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17.911671339436936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17.14035534874348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16.402253922242565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15.695936767696237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15.020035184398315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14.373239410907479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13.754296086992806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13.1620058248735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12.595220885046414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Sapin de Nordmann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12.052842952197524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11.533821006887585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11.03714928888764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3215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10.561865348217841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10.107048180112765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9.6718164402993008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9.2553267371285184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8.8567719972521726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8.4753799016767193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57</v>
      </c>
      <c r="B85" s="193">
        <f>'Données projet'!D88</f>
        <v>25</v>
      </c>
      <c r="C85" s="204">
        <v>8</v>
      </c>
      <c r="D85" s="191">
        <f>B85*C85</f>
        <v>200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8.1104113891643266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67</v>
      </c>
      <c r="B86" s="193">
        <f>'Données projet'!D89</f>
        <v>45</v>
      </c>
      <c r="C86" s="204">
        <v>21</v>
      </c>
      <c r="D86" s="191">
        <f t="shared" ref="D86:D104" si="6">B86*C86</f>
        <v>945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7.7611592240806955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77</v>
      </c>
      <c r="B87" s="193">
        <f>'Données projet'!D90</f>
        <v>65</v>
      </c>
      <c r="C87" s="204">
        <v>27</v>
      </c>
      <c r="D87" s="191">
        <f t="shared" si="6"/>
        <v>1755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7.4269466259145442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87</v>
      </c>
      <c r="B88" s="193">
        <f>'Données projet'!D91</f>
        <v>65</v>
      </c>
      <c r="C88" s="204">
        <v>34</v>
      </c>
      <c r="D88" s="191">
        <f t="shared" si="6"/>
        <v>2210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7.1071259578129595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99</v>
      </c>
      <c r="B89" s="193">
        <f>'Données projet'!D92</f>
        <v>506</v>
      </c>
      <c r="C89" s="204">
        <v>37</v>
      </c>
      <c r="D89" s="191">
        <f t="shared" si="6"/>
        <v>18722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6.8010774715913502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6.5082081067859825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6.2279503414219937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5.9597610922698507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5.7031206624591881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2022-04-01T09:30:54Z</dcterms:modified>
</cp:coreProperties>
</file>