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Quercy\CASSANIOUZE (15) - Laveissière\"/>
    </mc:Choice>
  </mc:AlternateContent>
  <xr:revisionPtr revIDLastSave="0" documentId="13_ncr:1_{12C81B67-90C3-4855-BF46-4D96D8DCBBE2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14" i="2" l="1" a="1"/>
  <c r="BC114" i="2" s="1"/>
  <c r="BC38" i="2" a="1"/>
  <c r="BC38" i="2" s="1"/>
  <c r="BC185" i="2" a="1"/>
  <c r="BC185" i="2" s="1"/>
  <c r="BC31" i="2" a="1"/>
  <c r="BC31" i="2" s="1"/>
  <c r="BC32" i="2" a="1"/>
  <c r="BC32" i="2" s="1"/>
  <c r="BC192" i="2" a="1"/>
  <c r="BC192" i="2" s="1"/>
  <c r="BC55" i="2" a="1"/>
  <c r="BC55" i="2" s="1"/>
  <c r="BC151" i="2" a="1"/>
  <c r="BC151" i="2" s="1"/>
  <c r="BC82" i="2" a="1"/>
  <c r="BC82" i="2" s="1"/>
  <c r="BC7" i="2" a="1"/>
  <c r="BC7" i="2" s="1"/>
  <c r="BC83" i="2" a="1"/>
  <c r="BC83" i="2" s="1"/>
  <c r="BC164" i="2" a="1"/>
  <c r="BC164" i="2" s="1"/>
  <c r="BC126" i="2" a="1"/>
  <c r="BC126" i="2" s="1"/>
  <c r="BC47" i="2" a="1"/>
  <c r="BC47" i="2" s="1"/>
  <c r="BC130" i="2" a="1"/>
  <c r="BC130" i="2" s="1"/>
  <c r="BC68" i="2" a="1"/>
  <c r="BC68" i="2" s="1"/>
  <c r="BC143" i="2" a="1"/>
  <c r="BC143" i="2" s="1"/>
  <c r="BC117" i="2" a="1"/>
  <c r="BC117" i="2" s="1"/>
  <c r="BC58" i="2" a="1"/>
  <c r="BC58" i="2" s="1"/>
  <c r="BC181" i="2" a="1"/>
  <c r="BC181" i="2" s="1"/>
  <c r="BC34" i="2" a="1"/>
  <c r="BC34" i="2" s="1"/>
  <c r="BC18" i="2" a="1"/>
  <c r="BC18" i="2" s="1"/>
  <c r="BC84" i="2" a="1"/>
  <c r="BC84" i="2" s="1"/>
  <c r="BC65" i="2" a="1"/>
  <c r="BC65" i="2" s="1"/>
  <c r="AH19" i="2" a="1"/>
  <c r="AH19" i="2" s="1"/>
  <c r="AH62" i="2" a="1"/>
  <c r="AH62" i="2" s="1"/>
  <c r="AH166" i="2" a="1"/>
  <c r="AH166" i="2" s="1"/>
  <c r="AH199" i="2" a="1"/>
  <c r="AH199" i="2" s="1"/>
  <c r="AH163" i="2" a="1"/>
  <c r="AH163" i="2" s="1"/>
  <c r="AH90" i="2" a="1"/>
  <c r="AH90" i="2" s="1"/>
  <c r="AH92" i="2" a="1"/>
  <c r="AH92" i="2" s="1"/>
  <c r="AH151" i="2" a="1"/>
  <c r="AH151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<sst xmlns="http://schemas.openxmlformats.org/spreadsheetml/2006/main" count="1172" uniqueCount="324">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</sst>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1.8384859337570063</c:v>
                </c:pt>
                <c:pt idx="2">
                  <c:v>2.179328435244706</c:v>
                </c:pt>
                <c:pt idx="3">
                  <c:v>2.5835983685839596</c:v>
                </c:pt>
                <c:pt idx="4">
                  <c:v>3.0631408068451407</c:v>
                </c:pt>
                <c:pt idx="5">
                  <c:v>3.6320202351102231</c:v>
                </c:pt>
                <c:pt idx="6">
                  <c:v>4.3069376861440878</c:v>
                </c:pt>
                <c:pt idx="7">
                  <c:v>5.1077265000259793</c:v>
                </c:pt>
                <c:pt idx="8">
                  <c:v>6.0579415660975471</c:v>
                </c:pt>
                <c:pt idx="9">
                  <c:v>7.1855597202545356</c:v>
                </c:pt>
                <c:pt idx="10">
                  <c:v>8.5238123196371749</c:v>
                </c:pt>
                <c:pt idx="11">
                  <c:v>10.112175001806468</c:v>
                </c:pt>
                <c:pt idx="12">
                  <c:v>11.997544377547372</c:v>
                </c:pt>
                <c:pt idx="13">
                  <c:v>14.235637049599092</c:v>
                </c:pt>
                <c:pt idx="14">
                  <c:v>16.892653065433223</c:v>
                </c:pt>
                <c:pt idx="15">
                  <c:v>20.047253904954317</c:v>
                </c:pt>
                <c:pt idx="16">
                  <c:v>23.79291461692257</c:v>
                </c:pt>
                <c:pt idx="17">
                  <c:v>28.240721040642256</c:v>
                </c:pt>
                <c:pt idx="18">
                  <c:v>33.522696526948565</c:v>
                </c:pt>
                <c:pt idx="19">
                  <c:v>39.79575861552572</c:v>
                </c:pt>
                <c:pt idx="20">
                  <c:v>47.246425223300974</c:v>
                </c:pt>
                <c:pt idx="21">
                  <c:v>56.096412633700432</c:v>
                </c:pt>
                <c:pt idx="22">
                  <c:v>66.60929464284159</c:v>
                </c:pt>
                <c:pt idx="23">
                  <c:v>79.098424442762266</c:v>
                </c:pt>
                <c:pt idx="24">
                  <c:v>93.936359187985758</c:v>
                </c:pt>
                <c:pt idx="25">
                  <c:v>111.56607287269634</c:v>
                </c:pt>
                <c:pt idx="26">
                  <c:v>132.51429753832994</c:v>
                </c:pt>
                <c:pt idx="27">
                  <c:v>157.40739759934175</c:v>
                </c:pt>
                <c:pt idx="28">
                  <c:v>150.47080067026766</c:v>
                </c:pt>
                <c:pt idx="29">
                  <c:v>163.03802518757752</c:v>
                </c:pt>
                <c:pt idx="30">
                  <c:v>175.5823424815143</c:v>
                </c:pt>
                <c:pt idx="31">
                  <c:v>171.69161142115624</c:v>
                </c:pt>
                <c:pt idx="32">
                  <c:v>184.65292865116098</c:v>
                </c:pt>
                <c:pt idx="33">
                  <c:v>197.5929938437981</c:v>
                </c:pt>
                <c:pt idx="34">
                  <c:v>210.51339559418258</c:v>
                </c:pt>
                <c:pt idx="35">
                  <c:v>223.41551137926174</c:v>
                </c:pt>
                <c:pt idx="36">
                  <c:v>209.7386999787991</c:v>
                </c:pt>
                <c:pt idx="37">
                  <c:v>225.7360456637642</c:v>
                </c:pt>
                <c:pt idx="38">
                  <c:v>241.70742778160744</c:v>
                </c:pt>
                <c:pt idx="39">
                  <c:v>257.6548036297558</c:v>
                </c:pt>
                <c:pt idx="40">
                  <c:v>273.57986831240419</c:v>
                </c:pt>
                <c:pt idx="41">
                  <c:v>248.01198278213079</c:v>
                </c:pt>
                <c:pt idx="42">
                  <c:v>266.13372633265288</c:v>
                </c:pt>
                <c:pt idx="43">
                  <c:v>284.22766637577377</c:v>
                </c:pt>
                <c:pt idx="44">
                  <c:v>302.29582160730934</c:v>
                </c:pt>
                <c:pt idx="45">
                  <c:v>320.33994968118049</c:v>
                </c:pt>
                <c:pt idx="46">
                  <c:v>338.36159407720407</c:v>
                </c:pt>
                <c:pt idx="47">
                  <c:v>356.36212045462412</c:v>
                </c:pt>
                <c:pt idx="48">
                  <c:v>374.34274527279507</c:v>
                </c:pt>
                <c:pt idx="49">
                  <c:v>392.30455862375675</c:v>
                </c:pt>
                <c:pt idx="50">
                  <c:v>410.24854266397256</c:v>
                </c:pt>
                <c:pt idx="51">
                  <c:v>329.54521097109392</c:v>
                </c:pt>
                <c:pt idx="52">
                  <c:v>349.59836202746766</c:v>
                </c:pt>
                <c:pt idx="53">
                  <c:v>369.6262881295645</c:v>
                </c:pt>
                <c:pt idx="54">
                  <c:v>389.63054763275704</c:v>
                </c:pt>
                <c:pt idx="55">
                  <c:v>409.61252588018669</c:v>
                </c:pt>
                <c:pt idx="56">
                  <c:v>429.57346208757514</c:v>
                </c:pt>
                <c:pt idx="57">
                  <c:v>449.51447097001227</c:v>
                </c:pt>
                <c:pt idx="58">
                  <c:v>469.43656033129997</c:v>
                </c:pt>
                <c:pt idx="59">
                  <c:v>489.34064551231751</c:v>
                </c:pt>
                <c:pt idx="60">
                  <c:v>509.22756136675412</c:v>
                </c:pt>
                <c:pt idx="61">
                  <c:v>415.71741193017186</c:v>
                </c:pt>
                <c:pt idx="62">
                  <c:v>433.89355138573887</c:v>
                </c:pt>
                <c:pt idx="63">
                  <c:v>452.05334833358802</c:v>
                </c:pt>
                <c:pt idx="64">
                  <c:v>470.19755134133334</c:v>
                </c:pt>
                <c:pt idx="65">
                  <c:v>488.32684652200686</c:v>
                </c:pt>
                <c:pt idx="66">
                  <c:v>506.44186491750776</c:v>
                </c:pt>
                <c:pt idx="67">
                  <c:v>524.54318877098581</c:v>
                </c:pt>
                <c:pt idx="68">
                  <c:v>542.63135688868078</c:v>
                </c:pt>
                <c:pt idx="69">
                  <c:v>560.70686924994277</c:v>
                </c:pt>
                <c:pt idx="70">
                  <c:v>578.77019099216204</c:v>
                </c:pt>
                <c:pt idx="71">
                  <c:v>491.49482053067413</c:v>
                </c:pt>
                <c:pt idx="72">
                  <c:v>502.89596414017234</c:v>
                </c:pt>
                <c:pt idx="73">
                  <c:v>514.29164038230522</c:v>
                </c:pt>
                <c:pt idx="74">
                  <c:v>525.68198747118436</c:v>
                </c:pt>
                <c:pt idx="75">
                  <c:v>537.06713714333159</c:v>
                </c:pt>
                <c:pt idx="76">
                  <c:v>548.447215095052</c:v>
                </c:pt>
                <c:pt idx="77">
                  <c:v>559.82234138161891</c:v>
                </c:pt>
                <c:pt idx="78">
                  <c:v>571.19263078233746</c:v>
                </c:pt>
                <c:pt idx="79">
                  <c:v>582.55819313503196</c:v>
                </c:pt>
                <c:pt idx="80">
                  <c:v>593.91913364308118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1.982352863799117</c:v>
                </c:pt>
                <c:pt idx="2">
                  <c:v>2.7041057308945007</c:v>
                </c:pt>
                <c:pt idx="3">
                  <c:v>3.6897598621626138</c:v>
                </c:pt>
                <c:pt idx="4">
                  <c:v>5.0361933713659557</c:v>
                </c:pt>
                <c:pt idx="5">
                  <c:v>6.8759805040375204</c:v>
                </c:pt>
                <c:pt idx="6">
                  <c:v>9.3905895478669326</c:v>
                </c:pt>
                <c:pt idx="7">
                  <c:v>12.828475768451668</c:v>
                </c:pt>
                <c:pt idx="8">
                  <c:v>17.529890118883106</c:v>
                </c:pt>
                <c:pt idx="9">
                  <c:v>23.960903477957146</c:v>
                </c:pt>
                <c:pt idx="10">
                  <c:v>32.760078992205301</c:v>
                </c:pt>
                <c:pt idx="11">
                  <c:v>44.802506807548788</c:v>
                </c:pt>
                <c:pt idx="12">
                  <c:v>61.287676834867518</c:v>
                </c:pt>
                <c:pt idx="13">
                  <c:v>83.860086052946073</c:v>
                </c:pt>
                <c:pt idx="14">
                  <c:v>114.7748046235494</c:v>
                </c:pt>
                <c:pt idx="15">
                  <c:v>157.12480016409424</c:v>
                </c:pt>
                <c:pt idx="16">
                  <c:v>184.29256128746965</c:v>
                </c:pt>
                <c:pt idx="17">
                  <c:v>211.36660740261004</c:v>
                </c:pt>
                <c:pt idx="18">
                  <c:v>238.36063977122194</c:v>
                </c:pt>
                <c:pt idx="19">
                  <c:v>265.2849948651608</c:v>
                </c:pt>
                <c:pt idx="20">
                  <c:v>292.14773647529722</c:v>
                </c:pt>
                <c:pt idx="21">
                  <c:v>324.21508944014391</c:v>
                </c:pt>
                <c:pt idx="22">
                  <c:v>356.21233858420231</c:v>
                </c:pt>
                <c:pt idx="23">
                  <c:v>388.14665972088761</c:v>
                </c:pt>
                <c:pt idx="24">
                  <c:v>420.02395175079954</c:v>
                </c:pt>
                <c:pt idx="25">
                  <c:v>451.84914558797823</c:v>
                </c:pt>
                <c:pt idx="26">
                  <c:v>458.49300619252995</c:v>
                </c:pt>
                <c:pt idx="27">
                  <c:v>490.02383273307811</c:v>
                </c:pt>
                <c:pt idx="28">
                  <c:v>521.51163942471965</c:v>
                </c:pt>
                <c:pt idx="29">
                  <c:v>552.95938498824523</c:v>
                </c:pt>
                <c:pt idx="30">
                  <c:v>584.369664578075</c:v>
                </c:pt>
                <c:pt idx="31">
                  <c:v>556.73999981392387</c:v>
                </c:pt>
                <c:pt idx="32">
                  <c:v>585.7858243463188</c:v>
                </c:pt>
                <c:pt idx="33">
                  <c:v>614.8016526190205</c:v>
                </c:pt>
                <c:pt idx="34">
                  <c:v>643.78909731180499</c:v>
                </c:pt>
                <c:pt idx="35">
                  <c:v>672.74961423997343</c:v>
                </c:pt>
                <c:pt idx="36">
                  <c:v>626.58850499642801</c:v>
                </c:pt>
                <c:pt idx="37">
                  <c:v>652.26807215377346</c:v>
                </c:pt>
                <c:pt idx="38">
                  <c:v>677.92680823930084</c:v>
                </c:pt>
                <c:pt idx="39">
                  <c:v>703.56561153811811</c:v>
                </c:pt>
                <c:pt idx="40">
                  <c:v>729.18530961737713</c:v>
                </c:pt>
                <c:pt idx="41">
                  <c:v>677.22087519835191</c:v>
                </c:pt>
                <c:pt idx="42">
                  <c:v>700.50879164342575</c:v>
                </c:pt>
                <c:pt idx="43">
                  <c:v>723.78086979282034</c:v>
                </c:pt>
                <c:pt idx="44">
                  <c:v>747.03768992547487</c:v>
                </c:pt>
                <c:pt idx="45">
                  <c:v>770.27979329125412</c:v>
                </c:pt>
                <c:pt idx="46">
                  <c:v>709.44334887873481</c:v>
                </c:pt>
                <c:pt idx="47">
                  <c:v>730.82997676459456</c:v>
                </c:pt>
                <c:pt idx="48">
                  <c:v>752.20385526189159</c:v>
                </c:pt>
                <c:pt idx="49">
                  <c:v>773.56539720897001</c:v>
                </c:pt>
                <c:pt idx="50">
                  <c:v>794.91499081298514</c:v>
                </c:pt>
                <c:pt idx="51">
                  <c:v>729.18530961737713</c:v>
                </c:pt>
                <c:pt idx="52">
                  <c:v>749.15120869876137</c:v>
                </c:pt>
                <c:pt idx="53">
                  <c:v>769.10629453334388</c:v>
                </c:pt>
                <c:pt idx="54">
                  <c:v>789.05088686316742</c:v>
                </c:pt>
                <c:pt idx="55">
                  <c:v>808.98528796749042</c:v>
                </c:pt>
                <c:pt idx="56">
                  <c:v>748.91637927235524</c:v>
                </c:pt>
                <c:pt idx="57">
                  <c:v>767.46333526620492</c:v>
                </c:pt>
                <c:pt idx="58">
                  <c:v>786.00120491902635</c:v>
                </c:pt>
                <c:pt idx="59">
                  <c:v>804.53023248127863</c:v>
                </c:pt>
                <c:pt idx="60">
                  <c:v>823.05065004816288</c:v>
                </c:pt>
                <c:pt idx="61">
                  <c:v>768.87159042722215</c:v>
                </c:pt>
                <c:pt idx="62">
                  <c:v>786.23580432399649</c:v>
                </c:pt>
                <c:pt idx="63">
                  <c:v>803.59226271431351</c:v>
                </c:pt>
                <c:pt idx="64">
                  <c:v>820.9411565268183</c:v>
                </c:pt>
                <c:pt idx="65">
                  <c:v>838.28266797111394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254.10050561748869</c:v>
                </c:pt>
                <c:pt idx="27">
                  <c:v>278.48936400091276</c:v>
                </c:pt>
                <c:pt idx="28">
                  <c:v>302.83030487228285</c:v>
                </c:pt>
                <c:pt idx="29">
                  <c:v>327.12771904371101</c:v>
                </c:pt>
                <c:pt idx="30">
                  <c:v>351.38529181133845</c:v>
                </c:pt>
                <c:pt idx="31">
                  <c:v>291.97612129761018</c:v>
                </c:pt>
                <c:pt idx="32">
                  <c:v>314.79730475594641</c:v>
                </c:pt>
                <c:pt idx="33">
                  <c:v>337.58182519139035</c:v>
                </c:pt>
                <c:pt idx="34">
                  <c:v>360.33250350315166</c:v>
                </c:pt>
                <c:pt idx="35">
                  <c:v>383.05177541071208</c:v>
                </c:pt>
                <c:pt idx="36">
                  <c:v>324.88660171920714</c:v>
                </c:pt>
                <c:pt idx="37">
                  <c:v>345.04466702323003</c:v>
                </c:pt>
                <c:pt idx="38">
                  <c:v>365.17687261995815</c:v>
                </c:pt>
                <c:pt idx="39">
                  <c:v>385.28484395959771</c:v>
                </c:pt>
                <c:pt idx="40">
                  <c:v>405.37002304691242</c:v>
                </c:pt>
                <c:pt idx="41">
                  <c:v>351.0123838279564</c:v>
                </c:pt>
                <c:pt idx="42">
                  <c:v>369.27485695721407</c:v>
                </c:pt>
                <c:pt idx="43">
                  <c:v>387.5176312788667</c:v>
                </c:pt>
                <c:pt idx="44">
                  <c:v>405.7417642472314</c:v>
                </c:pt>
                <c:pt idx="45">
                  <c:v>423.9482106076091</c:v>
                </c:pt>
                <c:pt idx="46">
                  <c:v>373.37184903581334</c:v>
                </c:pt>
                <c:pt idx="47">
                  <c:v>389.75013922020406</c:v>
                </c:pt>
                <c:pt idx="48">
                  <c:v>406.11349808426445</c:v>
                </c:pt>
                <c:pt idx="49">
                  <c:v>422.46261177230537</c:v>
                </c:pt>
                <c:pt idx="50">
                  <c:v>438.7981090039209</c:v>
                </c:pt>
                <c:pt idx="51">
                  <c:v>391.98236961231743</c:v>
                </c:pt>
                <c:pt idx="52">
                  <c:v>406.48522456571527</c:v>
                </c:pt>
                <c:pt idx="53">
                  <c:v>420.97690043878242</c:v>
                </c:pt>
                <c:pt idx="54">
                  <c:v>435.45783620208516</c:v>
                </c:pt>
                <c:pt idx="55">
                  <c:v>449.92843925372966</c:v>
                </c:pt>
                <c:pt idx="56">
                  <c:v>408.71542941668878</c:v>
                </c:pt>
                <c:pt idx="57">
                  <c:v>421.34833884363542</c:v>
                </c:pt>
                <c:pt idx="58">
                  <c:v>433.97309421022049</c:v>
                </c:pt>
                <c:pt idx="59">
                  <c:v>446.58996615169809</c:v>
                </c:pt>
                <c:pt idx="60">
                  <c:v>459.19920876443319</c:v>
                </c:pt>
                <c:pt idx="61">
                  <c:v>422.09119450330468</c:v>
                </c:pt>
                <c:pt idx="62">
                  <c:v>433.23068233058763</c:v>
                </c:pt>
                <c:pt idx="63">
                  <c:v>444.36402075569396</c:v>
                </c:pt>
                <c:pt idx="64">
                  <c:v>455.49138558575584</c:v>
                </c:pt>
                <c:pt idx="65">
                  <c:v>466.61294333655468</c:v>
                </c:pt>
                <c:pt idx="66">
                  <c:v>433.60189168293124</c:v>
                </c:pt>
                <c:pt idx="67">
                  <c:v>443.25095855050807</c:v>
                </c:pt>
                <c:pt idx="68">
                  <c:v>452.89552584845842</c:v>
                </c:pt>
                <c:pt idx="69">
                  <c:v>462.53570293273214</c:v>
                </c:pt>
                <c:pt idx="70">
                  <c:v>472.17159422788467</c:v>
                </c:pt>
                <c:pt idx="71">
                  <c:v>4.566883036574213E-12</c:v>
                </c:pt>
                <c:pt idx="72">
                  <c:v>4.566883036574213E-12</c:v>
                </c:pt>
                <c:pt idx="73">
                  <c:v>4.566883036574213E-12</c:v>
                </c:pt>
                <c:pt idx="74">
                  <c:v>4.566883036574213E-12</c:v>
                </c:pt>
                <c:pt idx="75">
                  <c:v>4.566883036574213E-12</c:v>
                </c:pt>
                <c:pt idx="76">
                  <c:v>4.566883036574213E-12</c:v>
                </c:pt>
                <c:pt idx="77">
                  <c:v>4.566883036574213E-12</c:v>
                </c:pt>
                <c:pt idx="78">
                  <c:v>4.566883036574213E-12</c:v>
                </c:pt>
                <c:pt idx="79">
                  <c:v>4.566883036574213E-12</c:v>
                </c:pt>
                <c:pt idx="80">
                  <c:v>4.566883036574213E-12</c:v>
                </c:pt>
                <c:pt idx="81">
                  <c:v>4.566883036574213E-12</c:v>
                </c:pt>
                <c:pt idx="82">
                  <c:v>4.566883036574213E-12</c:v>
                </c:pt>
                <c:pt idx="83">
                  <c:v>4.566883036574213E-12</c:v>
                </c:pt>
                <c:pt idx="84">
                  <c:v>4.566883036574213E-12</c:v>
                </c:pt>
                <c:pt idx="85">
                  <c:v>4.566883036574213E-12</c:v>
                </c:pt>
                <c:pt idx="86">
                  <c:v>4.566883036574213E-12</c:v>
                </c:pt>
                <c:pt idx="87">
                  <c:v>4.566883036574213E-12</c:v>
                </c:pt>
                <c:pt idx="88">
                  <c:v>4.566883036574213E-12</c:v>
                </c:pt>
                <c:pt idx="89">
                  <c:v>4.566883036574213E-12</c:v>
                </c:pt>
                <c:pt idx="90">
                  <c:v>4.566883036574213E-12</c:v>
                </c:pt>
                <c:pt idx="91">
                  <c:v>4.566883036574213E-12</c:v>
                </c:pt>
                <c:pt idx="92">
                  <c:v>4.566883036574213E-12</c:v>
                </c:pt>
                <c:pt idx="93">
                  <c:v>4.566883036574213E-12</c:v>
                </c:pt>
                <c:pt idx="94">
                  <c:v>4.566883036574213E-12</c:v>
                </c:pt>
                <c:pt idx="95">
                  <c:v>4.566883036574213E-12</c:v>
                </c:pt>
                <c:pt idx="96">
                  <c:v>4.566883036574213E-12</c:v>
                </c:pt>
                <c:pt idx="97">
                  <c:v>4.566883036574213E-12</c:v>
                </c:pt>
                <c:pt idx="98">
                  <c:v>4.566883036574213E-12</c:v>
                </c:pt>
                <c:pt idx="99">
                  <c:v>4.566883036574213E-12</c:v>
                </c:pt>
                <c:pt idx="100">
                  <c:v>4.566883036574213E-12</c:v>
                </c:pt>
                <c:pt idx="101">
                  <c:v>4.566883036574213E-12</c:v>
                </c:pt>
                <c:pt idx="102">
                  <c:v>4.566883036574213E-12</c:v>
                </c:pt>
                <c:pt idx="103">
                  <c:v>4.566883036574213E-12</c:v>
                </c:pt>
                <c:pt idx="104">
                  <c:v>4.566883036574213E-12</c:v>
                </c:pt>
                <c:pt idx="105">
                  <c:v>4.566883036574213E-12</c:v>
                </c:pt>
                <c:pt idx="106">
                  <c:v>4.566883036574213E-12</c:v>
                </c:pt>
                <c:pt idx="107">
                  <c:v>4.566883036574213E-12</c:v>
                </c:pt>
                <c:pt idx="108">
                  <c:v>4.566883036574213E-12</c:v>
                </c:pt>
                <c:pt idx="109">
                  <c:v>4.566883036574213E-12</c:v>
                </c:pt>
                <c:pt idx="110">
                  <c:v>4.566883036574213E-12</c:v>
                </c:pt>
                <c:pt idx="111">
                  <c:v>4.566883036574213E-12</c:v>
                </c:pt>
                <c:pt idx="112">
                  <c:v>4.566883036574213E-12</c:v>
                </c:pt>
                <c:pt idx="113">
                  <c:v>4.566883036574213E-12</c:v>
                </c:pt>
                <c:pt idx="114">
                  <c:v>4.566883036574213E-12</c:v>
                </c:pt>
                <c:pt idx="115">
                  <c:v>4.566883036574213E-12</c:v>
                </c:pt>
                <c:pt idx="116">
                  <c:v>4.566883036574213E-12</c:v>
                </c:pt>
                <c:pt idx="117">
                  <c:v>4.566883036574213E-12</c:v>
                </c:pt>
                <c:pt idx="118">
                  <c:v>4.566883036574213E-12</c:v>
                </c:pt>
                <c:pt idx="119">
                  <c:v>4.566883036574213E-12</c:v>
                </c:pt>
                <c:pt idx="120">
                  <c:v>4.566883036574213E-12</c:v>
                </c:pt>
                <c:pt idx="121">
                  <c:v>4.566883036574213E-12</c:v>
                </c:pt>
                <c:pt idx="122">
                  <c:v>4.566883036574213E-12</c:v>
                </c:pt>
                <c:pt idx="123">
                  <c:v>4.566883036574213E-12</c:v>
                </c:pt>
                <c:pt idx="124">
                  <c:v>4.566883036574213E-12</c:v>
                </c:pt>
                <c:pt idx="125">
                  <c:v>4.566883036574213E-12</c:v>
                </c:pt>
                <c:pt idx="126">
                  <c:v>4.566883036574213E-12</c:v>
                </c:pt>
                <c:pt idx="127">
                  <c:v>4.566883036574213E-12</c:v>
                </c:pt>
                <c:pt idx="128">
                  <c:v>4.566883036574213E-12</c:v>
                </c:pt>
                <c:pt idx="129">
                  <c:v>4.566883036574213E-12</c:v>
                </c:pt>
                <c:pt idx="130">
                  <c:v>4.566883036574213E-12</c:v>
                </c:pt>
                <c:pt idx="131">
                  <c:v>4.566883036574213E-12</c:v>
                </c:pt>
                <c:pt idx="132">
                  <c:v>4.566883036574213E-12</c:v>
                </c:pt>
                <c:pt idx="133">
                  <c:v>4.566883036574213E-12</c:v>
                </c:pt>
                <c:pt idx="134">
                  <c:v>4.566883036574213E-12</c:v>
                </c:pt>
                <c:pt idx="135">
                  <c:v>4.566883036574213E-12</c:v>
                </c:pt>
                <c:pt idx="136">
                  <c:v>4.566883036574213E-12</c:v>
                </c:pt>
                <c:pt idx="137">
                  <c:v>4.566883036574213E-12</c:v>
                </c:pt>
                <c:pt idx="138">
                  <c:v>4.566883036574213E-12</c:v>
                </c:pt>
                <c:pt idx="139">
                  <c:v>4.566883036574213E-12</c:v>
                </c:pt>
                <c:pt idx="140">
                  <c:v>4.566883036574213E-12</c:v>
                </c:pt>
                <c:pt idx="141">
                  <c:v>4.566883036574213E-12</c:v>
                </c:pt>
                <c:pt idx="142">
                  <c:v>4.566883036574213E-12</c:v>
                </c:pt>
                <c:pt idx="143">
                  <c:v>4.566883036574213E-12</c:v>
                </c:pt>
                <c:pt idx="144">
                  <c:v>4.566883036574213E-12</c:v>
                </c:pt>
                <c:pt idx="145">
                  <c:v>4.566883036574213E-12</c:v>
                </c:pt>
                <c:pt idx="146">
                  <c:v>4.566883036574213E-12</c:v>
                </c:pt>
                <c:pt idx="147">
                  <c:v>4.566883036574213E-12</c:v>
                </c:pt>
                <c:pt idx="148">
                  <c:v>4.566883036574213E-12</c:v>
                </c:pt>
                <c:pt idx="149">
                  <c:v>4.566883036574213E-12</c:v>
                </c:pt>
                <c:pt idx="150">
                  <c:v>4.566883036574213E-12</c:v>
                </c:pt>
                <c:pt idx="151">
                  <c:v>4.566883036574213E-12</c:v>
                </c:pt>
                <c:pt idx="152">
                  <c:v>4.566883036574213E-12</c:v>
                </c:pt>
                <c:pt idx="153">
                  <c:v>4.566883036574213E-12</c:v>
                </c:pt>
                <c:pt idx="154">
                  <c:v>4.566883036574213E-12</c:v>
                </c:pt>
                <c:pt idx="155">
                  <c:v>4.566883036574213E-12</c:v>
                </c:pt>
                <c:pt idx="156">
                  <c:v>4.566883036574213E-12</c:v>
                </c:pt>
                <c:pt idx="157">
                  <c:v>4.566883036574213E-12</c:v>
                </c:pt>
                <c:pt idx="158">
                  <c:v>4.566883036574213E-12</c:v>
                </c:pt>
                <c:pt idx="159">
                  <c:v>4.566883036574213E-12</c:v>
                </c:pt>
                <c:pt idx="160">
                  <c:v>4.566883036574213E-12</c:v>
                </c:pt>
                <c:pt idx="161">
                  <c:v>4.566883036574213E-12</c:v>
                </c:pt>
                <c:pt idx="162">
                  <c:v>4.566883036574213E-12</c:v>
                </c:pt>
                <c:pt idx="163">
                  <c:v>4.566883036574213E-12</c:v>
                </c:pt>
                <c:pt idx="164">
                  <c:v>4.566883036574213E-12</c:v>
                </c:pt>
                <c:pt idx="165">
                  <c:v>4.566883036574213E-12</c:v>
                </c:pt>
                <c:pt idx="166">
                  <c:v>4.566883036574213E-12</c:v>
                </c:pt>
                <c:pt idx="167">
                  <c:v>4.566883036574213E-12</c:v>
                </c:pt>
                <c:pt idx="168">
                  <c:v>4.566883036574213E-12</c:v>
                </c:pt>
                <c:pt idx="169">
                  <c:v>4.566883036574213E-12</c:v>
                </c:pt>
                <c:pt idx="170">
                  <c:v>4.566883036574213E-12</c:v>
                </c:pt>
                <c:pt idx="171">
                  <c:v>4.566883036574213E-12</c:v>
                </c:pt>
                <c:pt idx="172">
                  <c:v>4.566883036574213E-12</c:v>
                </c:pt>
                <c:pt idx="173">
                  <c:v>4.566883036574213E-12</c:v>
                </c:pt>
                <c:pt idx="174">
                  <c:v>4.566883036574213E-12</c:v>
                </c:pt>
                <c:pt idx="175">
                  <c:v>4.566883036574213E-12</c:v>
                </c:pt>
                <c:pt idx="176">
                  <c:v>4.566883036574213E-12</c:v>
                </c:pt>
                <c:pt idx="177">
                  <c:v>4.566883036574213E-12</c:v>
                </c:pt>
                <c:pt idx="178">
                  <c:v>4.566883036574213E-12</c:v>
                </c:pt>
                <c:pt idx="179">
                  <c:v>4.566883036574213E-12</c:v>
                </c:pt>
                <c:pt idx="180">
                  <c:v>4.566883036574213E-12</c:v>
                </c:pt>
                <c:pt idx="181">
                  <c:v>4.566883036574213E-12</c:v>
                </c:pt>
                <c:pt idx="182">
                  <c:v>4.566883036574213E-12</c:v>
                </c:pt>
                <c:pt idx="183">
                  <c:v>4.566883036574213E-12</c:v>
                </c:pt>
                <c:pt idx="184">
                  <c:v>4.566883036574213E-12</c:v>
                </c:pt>
                <c:pt idx="185">
                  <c:v>4.566883036574213E-12</c:v>
                </c:pt>
                <c:pt idx="186">
                  <c:v>4.566883036574213E-12</c:v>
                </c:pt>
                <c:pt idx="187">
                  <c:v>4.566883036574213E-12</c:v>
                </c:pt>
                <c:pt idx="188">
                  <c:v>4.566883036574213E-12</c:v>
                </c:pt>
                <c:pt idx="189">
                  <c:v>4.566883036574213E-12</c:v>
                </c:pt>
                <c:pt idx="190">
                  <c:v>4.566883036574213E-12</c:v>
                </c:pt>
                <c:pt idx="191">
                  <c:v>4.566883036574213E-12</c:v>
                </c:pt>
                <c:pt idx="192">
                  <c:v>4.566883036574213E-12</c:v>
                </c:pt>
                <c:pt idx="193">
                  <c:v>4.566883036574213E-12</c:v>
                </c:pt>
                <c:pt idx="194">
                  <c:v>4.566883036574213E-12</c:v>
                </c:pt>
                <c:pt idx="195">
                  <c:v>4.566883036574213E-12</c:v>
                </c:pt>
                <c:pt idx="196">
                  <c:v>4.566883036574213E-12</c:v>
                </c:pt>
                <c:pt idx="197">
                  <c:v>4.566883036574213E-12</c:v>
                </c:pt>
                <c:pt idx="198">
                  <c:v>4.566883036574213E-12</c:v>
                </c:pt>
                <c:pt idx="199">
                  <c:v>4.566883036574213E-12</c:v>
                </c:pt>
                <c:pt idx="200">
                  <c:v>4.566883036574213E-12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E48" sqref="E4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3.05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35</v>
      </c>
      <c r="C9" s="35">
        <v>0.49</v>
      </c>
      <c r="D9" s="36">
        <f t="shared" ref="D9:D18" si="0">C9*$C$5</f>
        <v>1.4944999999999999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18</v>
      </c>
      <c r="C10" s="35">
        <v>0.35</v>
      </c>
      <c r="D10" s="36">
        <f t="shared" si="0"/>
        <v>1.0674999999999999</v>
      </c>
      <c r="E10" s="37">
        <v>65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13</v>
      </c>
      <c r="C11" s="35">
        <v>0.16</v>
      </c>
      <c r="D11" s="36">
        <f t="shared" si="0"/>
        <v>0.48799999999999999</v>
      </c>
      <c r="E11" s="37">
        <v>70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3.05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laricio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27</v>
      </c>
      <c r="B36" s="63">
        <v>118</v>
      </c>
      <c r="C36" s="63">
        <v>1</v>
      </c>
      <c r="D36" s="63">
        <v>15</v>
      </c>
      <c r="E36" s="54"/>
      <c r="F36" s="54"/>
      <c r="G36" s="54"/>
      <c r="H36" s="54">
        <v>1</v>
      </c>
      <c r="I36" s="52">
        <f>IFERROR(B36/A36,"")</f>
        <v>4.3703703703703702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132</v>
      </c>
      <c r="C37" s="63">
        <v>2</v>
      </c>
      <c r="D37" s="63">
        <v>13</v>
      </c>
      <c r="E37" s="54"/>
      <c r="F37" s="54"/>
      <c r="G37" s="54">
        <v>0.5</v>
      </c>
      <c r="H37" s="54">
        <v>0.5</v>
      </c>
      <c r="I37" s="56">
        <f t="shared" ref="I37:I55" si="1">IF(A37&lt;&gt;0,(B37-(B36-D36))/(A37-A36),"")</f>
        <v>9.6666666666666661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169</v>
      </c>
      <c r="C38" s="63">
        <v>3</v>
      </c>
      <c r="D38" s="63">
        <v>23</v>
      </c>
      <c r="E38" s="54">
        <v>0.25</v>
      </c>
      <c r="F38" s="54"/>
      <c r="G38" s="54">
        <v>0.75</v>
      </c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208</v>
      </c>
      <c r="C39" s="63">
        <v>4</v>
      </c>
      <c r="D39" s="63">
        <v>34</v>
      </c>
      <c r="E39" s="54">
        <v>0.35</v>
      </c>
      <c r="F39" s="54"/>
      <c r="G39" s="54">
        <v>0.65</v>
      </c>
      <c r="H39" s="54"/>
      <c r="I39" s="52">
        <f t="shared" si="1"/>
        <v>12.4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50</v>
      </c>
      <c r="B40" s="63">
        <v>315</v>
      </c>
      <c r="C40" s="63">
        <v>5</v>
      </c>
      <c r="D40" s="63">
        <v>79</v>
      </c>
      <c r="E40" s="54">
        <v>0.5</v>
      </c>
      <c r="F40" s="54"/>
      <c r="G40" s="54">
        <v>0.5</v>
      </c>
      <c r="H40" s="54"/>
      <c r="I40" s="52">
        <f t="shared" si="1"/>
        <v>14.1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60</v>
      </c>
      <c r="B41" s="63">
        <v>393</v>
      </c>
      <c r="C41" s="63">
        <v>6</v>
      </c>
      <c r="D41" s="63">
        <v>88</v>
      </c>
      <c r="E41" s="54">
        <v>0.65</v>
      </c>
      <c r="F41" s="54"/>
      <c r="G41" s="54">
        <v>0.35</v>
      </c>
      <c r="H41" s="54"/>
      <c r="I41" s="56">
        <f t="shared" si="1"/>
        <v>15.7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70</v>
      </c>
      <c r="B42" s="63">
        <v>448</v>
      </c>
      <c r="C42" s="63">
        <v>7</v>
      </c>
      <c r="D42" s="63">
        <v>78</v>
      </c>
      <c r="E42" s="54">
        <v>0.8</v>
      </c>
      <c r="F42" s="54"/>
      <c r="G42" s="54">
        <v>0.2</v>
      </c>
      <c r="H42" s="54"/>
      <c r="I42" s="56">
        <f t="shared" si="1"/>
        <v>14.3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80</v>
      </c>
      <c r="B43" s="63">
        <v>460</v>
      </c>
      <c r="C43" s="63">
        <v>8</v>
      </c>
      <c r="D43" s="63">
        <v>460</v>
      </c>
      <c r="E43" s="54">
        <v>0.9</v>
      </c>
      <c r="F43" s="54"/>
      <c r="G43" s="54">
        <v>0.1</v>
      </c>
      <c r="H43" s="54"/>
      <c r="I43" s="52">
        <f t="shared" si="1"/>
        <v>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Douglas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126</v>
      </c>
      <c r="C62" s="63">
        <v>1</v>
      </c>
      <c r="D62" s="63">
        <v>0</v>
      </c>
      <c r="E62" s="54">
        <v>0</v>
      </c>
      <c r="F62" s="54"/>
      <c r="G62" s="54">
        <v>0</v>
      </c>
      <c r="H62" s="54">
        <v>1</v>
      </c>
      <c r="I62" s="56">
        <f>IFERROR(B62/A62,"")</f>
        <v>8.4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3">
        <v>238</v>
      </c>
      <c r="C63" s="63">
        <v>2</v>
      </c>
      <c r="D63" s="63">
        <v>0</v>
      </c>
      <c r="E63" s="54">
        <v>0</v>
      </c>
      <c r="F63" s="54"/>
      <c r="G63" s="54">
        <v>0.5</v>
      </c>
      <c r="H63" s="54">
        <v>0.5</v>
      </c>
      <c r="I63" s="52">
        <f>IF(A63&lt;&gt;0,(B63-(B62-D62))/(A63-A62),"")</f>
        <v>22.4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372</v>
      </c>
      <c r="C64" s="63">
        <v>3</v>
      </c>
      <c r="D64" s="63">
        <v>21</v>
      </c>
      <c r="E64" s="54">
        <v>0.1</v>
      </c>
      <c r="F64" s="54"/>
      <c r="G64" s="54">
        <v>0.5</v>
      </c>
      <c r="H64" s="54">
        <v>0.4</v>
      </c>
      <c r="I64" s="52">
        <f>IF(A64&lt;&gt;0,(B64-(B63-D63))/(A64-A63),"")</f>
        <v>26.8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484</v>
      </c>
      <c r="C65" s="63">
        <v>4</v>
      </c>
      <c r="D65" s="63">
        <v>48</v>
      </c>
      <c r="E65" s="54">
        <v>0.25</v>
      </c>
      <c r="F65" s="54"/>
      <c r="G65" s="54">
        <v>0.75</v>
      </c>
      <c r="H65" s="54"/>
      <c r="I65" s="52">
        <f>IF(A65&lt;&gt;0,(B65-(B64-D64))/(A65-A64),"")</f>
        <v>26.6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3">
        <v>559</v>
      </c>
      <c r="C66" s="63">
        <v>5</v>
      </c>
      <c r="D66" s="63">
        <v>61</v>
      </c>
      <c r="E66" s="54">
        <v>0.35</v>
      </c>
      <c r="F66" s="54"/>
      <c r="G66" s="54">
        <v>0.65</v>
      </c>
      <c r="H66" s="54"/>
      <c r="I66" s="52">
        <f t="shared" ref="I66:I81" si="2">IF(A66&lt;&gt;0,(B66-(B65-D65))/(A66-A65),"")</f>
        <v>24.6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3">
        <v>607</v>
      </c>
      <c r="C67" s="63">
        <v>6</v>
      </c>
      <c r="D67" s="63">
        <v>64</v>
      </c>
      <c r="E67" s="54">
        <v>0.45</v>
      </c>
      <c r="F67" s="54"/>
      <c r="G67" s="54">
        <v>0.55000000000000004</v>
      </c>
      <c r="H67" s="54"/>
      <c r="I67" s="52">
        <f t="shared" si="2"/>
        <v>21.8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3">
        <v>642</v>
      </c>
      <c r="C68" s="63">
        <v>7</v>
      </c>
      <c r="D68" s="63">
        <v>70</v>
      </c>
      <c r="E68" s="54">
        <v>0.55000000000000004</v>
      </c>
      <c r="F68" s="54"/>
      <c r="G68" s="54">
        <v>0.45</v>
      </c>
      <c r="H68" s="54"/>
      <c r="I68" s="52">
        <f t="shared" si="2"/>
        <v>19.8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50</v>
      </c>
      <c r="B69" s="53">
        <v>663</v>
      </c>
      <c r="C69" s="53">
        <v>8</v>
      </c>
      <c r="D69" s="53">
        <v>73</v>
      </c>
      <c r="E69" s="54">
        <v>0.65</v>
      </c>
      <c r="F69" s="54"/>
      <c r="G69" s="54">
        <v>0.35</v>
      </c>
      <c r="H69" s="54"/>
      <c r="I69" s="52">
        <f t="shared" si="2"/>
        <v>18.2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55</v>
      </c>
      <c r="B70" s="53">
        <v>675</v>
      </c>
      <c r="C70" s="53">
        <v>9</v>
      </c>
      <c r="D70" s="53">
        <v>67</v>
      </c>
      <c r="E70" s="54">
        <v>0.75</v>
      </c>
      <c r="F70" s="54"/>
      <c r="G70" s="54">
        <v>0.25</v>
      </c>
      <c r="H70" s="54"/>
      <c r="I70" s="52">
        <f t="shared" si="2"/>
        <v>17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60</v>
      </c>
      <c r="B71" s="53">
        <v>687</v>
      </c>
      <c r="C71" s="53">
        <v>10</v>
      </c>
      <c r="D71" s="53">
        <v>61</v>
      </c>
      <c r="E71" s="54">
        <v>0.85</v>
      </c>
      <c r="F71" s="54"/>
      <c r="G71" s="54">
        <v>0.15</v>
      </c>
      <c r="H71" s="54"/>
      <c r="I71" s="52">
        <f t="shared" si="2"/>
        <v>15.8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65</v>
      </c>
      <c r="B72" s="53">
        <v>700</v>
      </c>
      <c r="C72" s="53">
        <v>11</v>
      </c>
      <c r="D72" s="53">
        <v>700</v>
      </c>
      <c r="E72" s="54">
        <v>0.9</v>
      </c>
      <c r="F72" s="54"/>
      <c r="G72" s="54">
        <v>0.1</v>
      </c>
      <c r="H72" s="54"/>
      <c r="I72" s="52">
        <f t="shared" si="2"/>
        <v>14.8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rouge d'Amérique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v>87</v>
      </c>
      <c r="C88" s="63">
        <v>1</v>
      </c>
      <c r="D88" s="63">
        <v>21</v>
      </c>
      <c r="E88" s="54"/>
      <c r="F88" s="54"/>
      <c r="G88" s="54"/>
      <c r="H88" s="93">
        <v>1</v>
      </c>
      <c r="I88" s="56">
        <f>IFERROR(B88/A88,"")</f>
        <v>5.8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v>137</v>
      </c>
      <c r="C89" s="63">
        <v>2</v>
      </c>
      <c r="D89" s="63">
        <v>43</v>
      </c>
      <c r="E89" s="54"/>
      <c r="F89" s="54"/>
      <c r="G89" s="54"/>
      <c r="H89" s="93">
        <v>1</v>
      </c>
      <c r="I89" s="56">
        <f t="shared" ref="I89:I107" si="3">IF(A89&lt;&gt;0,(B89-(B88-D88))/(A89-A88),"")</f>
        <v>14.2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v>163</v>
      </c>
      <c r="C90" s="63">
        <v>3</v>
      </c>
      <c r="D90" s="63">
        <v>44</v>
      </c>
      <c r="E90" s="93"/>
      <c r="F90" s="93"/>
      <c r="G90" s="93"/>
      <c r="H90" s="93">
        <v>1</v>
      </c>
      <c r="I90" s="56">
        <f t="shared" si="3"/>
        <v>13.8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184</v>
      </c>
      <c r="C91" s="63">
        <v>4</v>
      </c>
      <c r="D91" s="63">
        <v>44</v>
      </c>
      <c r="E91" s="93"/>
      <c r="F91" s="93"/>
      <c r="G91" s="93"/>
      <c r="H91" s="93">
        <v>1</v>
      </c>
      <c r="I91" s="56">
        <f t="shared" si="3"/>
        <v>13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3">
        <v>201</v>
      </c>
      <c r="C92" s="63">
        <v>5</v>
      </c>
      <c r="D92" s="63">
        <v>42</v>
      </c>
      <c r="E92" s="93"/>
      <c r="F92" s="93"/>
      <c r="G92" s="93"/>
      <c r="H92" s="93">
        <v>1</v>
      </c>
      <c r="I92" s="56">
        <f t="shared" si="3"/>
        <v>12.2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3">
        <v>213</v>
      </c>
      <c r="C93" s="63">
        <v>6</v>
      </c>
      <c r="D93" s="63">
        <v>39</v>
      </c>
      <c r="E93" s="93">
        <v>0.2</v>
      </c>
      <c r="F93" s="93"/>
      <c r="G93" s="93"/>
      <c r="H93" s="93">
        <v>0.8</v>
      </c>
      <c r="I93" s="56">
        <f t="shared" si="3"/>
        <v>10.8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3">
        <v>223</v>
      </c>
      <c r="C94" s="63">
        <v>7</v>
      </c>
      <c r="D94" s="63">
        <v>36</v>
      </c>
      <c r="E94" s="93">
        <v>0.3</v>
      </c>
      <c r="F94" s="93"/>
      <c r="G94" s="93"/>
      <c r="H94" s="93">
        <v>0.7</v>
      </c>
      <c r="I94" s="56">
        <f t="shared" si="3"/>
        <v>9.8000000000000007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50</v>
      </c>
      <c r="B95" s="63">
        <v>231</v>
      </c>
      <c r="C95" s="63">
        <v>8</v>
      </c>
      <c r="D95" s="63">
        <v>33</v>
      </c>
      <c r="E95" s="93">
        <v>0.4</v>
      </c>
      <c r="F95" s="93"/>
      <c r="G95" s="93"/>
      <c r="H95" s="93">
        <v>0.6</v>
      </c>
      <c r="I95" s="56">
        <f t="shared" si="3"/>
        <v>8.8000000000000007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55</v>
      </c>
      <c r="B96" s="63">
        <v>237</v>
      </c>
      <c r="C96" s="63">
        <v>9</v>
      </c>
      <c r="D96" s="63">
        <v>29</v>
      </c>
      <c r="E96" s="93">
        <v>0.5</v>
      </c>
      <c r="F96" s="93"/>
      <c r="G96" s="93"/>
      <c r="H96" s="93">
        <v>0.5</v>
      </c>
      <c r="I96" s="56">
        <f t="shared" si="3"/>
        <v>7.8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60</v>
      </c>
      <c r="B97" s="63">
        <v>242</v>
      </c>
      <c r="C97" s="63">
        <v>10</v>
      </c>
      <c r="D97" s="63">
        <v>26</v>
      </c>
      <c r="E97" s="93">
        <v>0.6</v>
      </c>
      <c r="F97" s="93"/>
      <c r="G97" s="93"/>
      <c r="H97" s="93">
        <v>0.4</v>
      </c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65</v>
      </c>
      <c r="B98" s="63">
        <v>246</v>
      </c>
      <c r="C98" s="63">
        <v>11</v>
      </c>
      <c r="D98" s="63">
        <v>23</v>
      </c>
      <c r="E98" s="93">
        <v>0.7</v>
      </c>
      <c r="F98" s="93"/>
      <c r="G98" s="93"/>
      <c r="H98" s="93">
        <v>0.3</v>
      </c>
      <c r="I98" s="56">
        <f t="shared" si="3"/>
        <v>6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70</v>
      </c>
      <c r="B99" s="63">
        <v>249</v>
      </c>
      <c r="C99" s="63">
        <v>12</v>
      </c>
      <c r="D99" s="63">
        <v>249</v>
      </c>
      <c r="E99" s="93">
        <v>0.7</v>
      </c>
      <c r="F99" s="93"/>
      <c r="G99" s="93"/>
      <c r="H99" s="93">
        <v>0.3</v>
      </c>
      <c r="I99" s="56">
        <f t="shared" si="3"/>
        <v>5.2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laricio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Douglas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rouge d'Amérique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295.83974441964551</v>
      </c>
      <c r="T3" s="62">
        <f>IF('Données projet'!E9&gt;30,$R$33-$H$33,LOOKUP('Données projet'!$E$9,$A$3:$A$203,R3:R203)-LOOKUP('Données projet'!$E$9,$A$3:$A$203,$H$3:$H$203))</f>
        <v>212.24900914818096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512.21337090113502</v>
      </c>
      <c r="AO3" s="62">
        <f>IF('Données projet'!E10&gt;30,$AM$33-$H$33,LOOKUP('Données projet'!$E$10,$A$3:$A$203,AM3:AM203)-LOOKUP('Données projet'!$E$10,$A$3:$A$203,$H$3:$H$203))</f>
        <v>621.03633124474163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321.23599968992932</v>
      </c>
      <c r="BJ3" s="62">
        <f>IF('Données projet'!E11&gt;30,$BH$33-$H$33,LOOKUP('Données projet'!$E$11,$A$3:$A$203,BH3:BH203)-LOOKUP('Données projet'!$E$11,$A$3:$A$203,$H$3:$H$203))</f>
        <v>388.05195847800502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4.3703703703703702</v>
      </c>
      <c r="N4" s="14">
        <f>IF('Données projet'!$A$36&gt;35,N3+M4-V3,IF(A4&lt;'Données projet'!$A$36,$K$205^A4,IF(A4='Données projet'!$A$36,'Données projet'!$B$36,N3+M4-V3)))</f>
        <v>1.1932635389591795</v>
      </c>
      <c r="O4" s="14">
        <f>N4*VLOOKUP('Données projet'!$B$9,Paramètres!$A$1:$I$89,3,0)*VLOOKUP('Données projet'!$B$9,Paramètres!$A$1:$I$89,5,0)</f>
        <v>0.71357159629758937</v>
      </c>
      <c r="P4" s="14">
        <f>EXP(-1.0587+0.8836*LN(O4)+0.284)</f>
        <v>0.34201841351504586</v>
      </c>
      <c r="Q4" s="22">
        <f t="shared" ref="Q4:Q34" si="2">(O4+P4)*0.475*44/12</f>
        <v>1.8384859337570063</v>
      </c>
      <c r="R4" s="62">
        <f t="shared" si="0"/>
        <v>259.72737482264586</v>
      </c>
      <c r="S4" s="62">
        <f ca="1">AVERAGE(OFFSET($R$3,0,0,'Données projet'!$E$9+1,1))-AVERAGE(OFFSET($H$3,0,0,'Données projet'!$E$9+1,1))</f>
        <v>295.83974441964551</v>
      </c>
      <c r="T4" s="62">
        <f>$T$3</f>
        <v>212.24900914818096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8.4</v>
      </c>
      <c r="AI4" s="14">
        <f>IF('Données projet'!$A$62&gt;35,AI3+AH4-AQ3,IF(A4&lt;'Données projet'!$A$62,$AF$205^A4,IF(A4='Données projet'!$A$62,'Données projet'!$B$62,AI3+AH4-AQ3)))</f>
        <v>1.3804627841663464</v>
      </c>
      <c r="AJ4" s="14">
        <f>AI4*VLOOKUP('Données projet'!$B$10,Paramètres!$A$1:$I$89,3,0)*VLOOKUP('Données projet'!$B$10,Paramètres!$A$1:$I$89,5,0)</f>
        <v>0.77167869634898767</v>
      </c>
      <c r="AK4" s="14">
        <f>EXP(-1.0587+0.8836*LN(AJ4)+0.284)</f>
        <v>0.36651433549739537</v>
      </c>
      <c r="AL4" s="22">
        <f t="shared" ref="AL4:AL67" si="4">(AJ4+AK4)*0.475*44/12</f>
        <v>1.982352863799117</v>
      </c>
      <c r="AM4" s="62">
        <f t="shared" ref="AM4:AM67" si="5">AL4+(AD4+AE4)*44/12</f>
        <v>259.87124175268798</v>
      </c>
      <c r="AN4" s="62">
        <f ca="1">AVERAGE(OFFSET($AM$3,0,0,'Données projet'!$E$10+1,1))-AVERAGE(OFFSET($H$3,0,0,'Données projet'!$E$10+1,1))</f>
        <v>512.21337090113502</v>
      </c>
      <c r="AO4" s="62">
        <f>$AO$3</f>
        <v>621.03633124474163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5.8</v>
      </c>
      <c r="BD4" s="13">
        <f>IF('Données projet'!$A$88&gt;35,BD3+BC4-BL3,IF(A4&lt;'Données projet'!$A$88,$BA$205^A4,IF(A4='Données projet'!$A$88,'Données projet'!$B$88,BD3+BC4-BL3)))</f>
        <v>1.3467943429205997</v>
      </c>
      <c r="BE4" s="14">
        <f>BD4*VLOOKUP('Données projet'!$B$11,Paramètres!$A$1:$I$89,3,0)*VLOOKUP('Données projet'!$B$11,Paramètres!$A$1:$I$89,5,0)</f>
        <v>1.1765595379754361</v>
      </c>
      <c r="BF4" s="14">
        <f>EXP(-1.0587+0.8836*LN(BE4)+0.284)</f>
        <v>0.53204273185561757</v>
      </c>
      <c r="BG4" s="22">
        <f t="shared" ref="BG4:BG67" si="7">(BE4+BF4)*0.475*44/12</f>
        <v>2.9758156199557515</v>
      </c>
      <c r="BH4" s="62">
        <f t="shared" ref="BH4:BH67" si="8">BG4+(AY4+AZ4)*44/12</f>
        <v>260.86470450884462</v>
      </c>
      <c r="BI4" s="62">
        <f ca="1">AVERAGE(OFFSET($BH$3,0,0,'Données projet'!$E$11+1,1))-AVERAGE(OFFSET($H$3,0,0,'Données projet'!$E$11+1,1))</f>
        <v>321.23599968992932</v>
      </c>
      <c r="BJ4" s="62">
        <f>$BJ$3</f>
        <v>388.05195847800502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4.3703703703703702</v>
      </c>
      <c r="N5" s="14">
        <f>IF('Données projet'!$A$36&gt;35,N4+M5-V4,IF(A5&lt;'Données projet'!$A$36,$K$205^A5,IF(A5='Données projet'!$A$36,'Données projet'!$B$36,N4+M5-V4)))</f>
        <v>1.4238778734093853</v>
      </c>
      <c r="O5" s="14">
        <f>N5*VLOOKUP('Données projet'!$B$9,Paramètres!$A$1:$I$89,3,0)*VLOOKUP('Données projet'!$B$9,Paramètres!$A$1:$I$89,5,0)</f>
        <v>0.85147896829881242</v>
      </c>
      <c r="P5" s="14">
        <f t="shared" ref="P5:P68" si="33">EXP(-1.0587+0.8836*LN(O5)+0.284)</f>
        <v>0.39981008543020569</v>
      </c>
      <c r="Q5" s="22">
        <f t="shared" si="2"/>
        <v>2.179328435244706</v>
      </c>
      <c r="R5" s="62">
        <f t="shared" si="0"/>
        <v>261.29043954635586</v>
      </c>
      <c r="S5" s="62">
        <f ca="1">AVERAGE(OFFSET($R$3,0,0,'Données projet'!$E$9+1,1))-AVERAGE(OFFSET($H$3,0,0,'Données projet'!$E$9+1,1))</f>
        <v>295.83974441964551</v>
      </c>
      <c r="T5" s="62">
        <f t="shared" ref="T5:T68" si="34">$T$3</f>
        <v>212.24900914818096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8.4</v>
      </c>
      <c r="AI5" s="14">
        <f>IF('Données projet'!$A$62&gt;35,AI4+AH5-AQ4,IF(A5&lt;'Données projet'!$A$62,$AF$205^A5,IF(A5='Données projet'!$A$62,'Données projet'!$B$62,AI4+AH5-AQ4)))</f>
        <v>1.9056774984683007</v>
      </c>
      <c r="AJ5" s="14">
        <f>AI5*VLOOKUP('Données projet'!$B$10,Paramètres!$A$1:$I$89,3,0)*VLOOKUP('Données projet'!$B$10,Paramètres!$A$1:$I$89,5,0)</f>
        <v>1.0652737216437802</v>
      </c>
      <c r="AK5" s="14">
        <f t="shared" ref="AK5:AK68" si="35">EXP(-1.0587+0.8836*LN(AJ5)+0.284)</f>
        <v>0.4873228702573687</v>
      </c>
      <c r="AL5" s="22">
        <f t="shared" si="4"/>
        <v>2.7041057308945007</v>
      </c>
      <c r="AM5" s="62">
        <f t="shared" si="5"/>
        <v>261.81521684200567</v>
      </c>
      <c r="AN5" s="62">
        <f ca="1">AVERAGE(OFFSET($AM$3,0,0,'Données projet'!$E$10+1,1))-AVERAGE(OFFSET($H$3,0,0,'Données projet'!$E$10+1,1))</f>
        <v>512.21337090113502</v>
      </c>
      <c r="AO5" s="62">
        <f t="shared" ref="AO5:AO68" si="36">$AO$3</f>
        <v>621.03633124474163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5.8</v>
      </c>
      <c r="BD5" s="13">
        <f>IF('Données projet'!$A$88&gt;35,BD4+BC5-BL4,IF(A5&lt;'Données projet'!$A$88,$BA$205^A5,IF(A5='Données projet'!$A$88,'Données projet'!$B$88,BD4+BC5-BL4)))</f>
        <v>1.81385500212293</v>
      </c>
      <c r="BE5" s="14">
        <f>BD5*VLOOKUP('Données projet'!$B$11,Paramètres!$A$1:$I$89,3,0)*VLOOKUP('Données projet'!$B$11,Paramètres!$A$1:$I$89,5,0)</f>
        <v>1.5845837298545919</v>
      </c>
      <c r="BF5" s="14">
        <f t="shared" ref="BF5:BF68" si="37">EXP(-1.0587+0.8836*LN(BE5)+0.284)</f>
        <v>0.69214506839939893</v>
      </c>
      <c r="BG5" s="22">
        <f t="shared" si="7"/>
        <v>3.9653026569590337</v>
      </c>
      <c r="BH5" s="62">
        <f t="shared" si="8"/>
        <v>263.07641376807015</v>
      </c>
      <c r="BI5" s="62">
        <f ca="1">AVERAGE(OFFSET($BH$3,0,0,'Données projet'!$E$11+1,1))-AVERAGE(OFFSET($H$3,0,0,'Données projet'!$E$11+1,1))</f>
        <v>321.23599968992932</v>
      </c>
      <c r="BJ5" s="62">
        <f t="shared" ref="BJ5:BJ68" si="38">$BJ$3</f>
        <v>388.05195847800502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4.3703703703703702</v>
      </c>
      <c r="N6" s="14">
        <f>IF('Données projet'!$A$36&gt;35,N5+M6-V5,IF(A6&lt;'Données projet'!$A$36,$K$205^A6,IF(A6='Données projet'!$A$36,'Données projet'!$B$36,N5+M6-V5)))</f>
        <v>1.6990615502701536</v>
      </c>
      <c r="O6" s="14">
        <f>N6*VLOOKUP('Données projet'!$B$9,Paramètres!$A$1:$I$89,3,0)*VLOOKUP('Données projet'!$B$9,Paramètres!$A$1:$I$89,5,0)</f>
        <v>1.0160388070615518</v>
      </c>
      <c r="P6" s="14">
        <f t="shared" si="33"/>
        <v>0.46736695480483653</v>
      </c>
      <c r="Q6" s="22">
        <f t="shared" si="2"/>
        <v>2.5835983685839596</v>
      </c>
      <c r="R6" s="62">
        <f t="shared" si="0"/>
        <v>262.91693170191729</v>
      </c>
      <c r="S6" s="62">
        <f ca="1">AVERAGE(OFFSET($R$3,0,0,'Données projet'!$E$9+1,1))-AVERAGE(OFFSET($H$3,0,0,'Données projet'!$E$9+1,1))</f>
        <v>295.83974441964551</v>
      </c>
      <c r="T6" s="62">
        <f t="shared" si="34"/>
        <v>212.24900914818096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8.4</v>
      </c>
      <c r="AI6" s="14">
        <f>IF('Données projet'!$A$62&gt;35,AI5+AH6-AQ5,IF(A6&lt;'Données projet'!$A$62,$AF$205^A6,IF(A6='Données projet'!$A$62,'Données projet'!$B$62,AI5+AH6-AQ5)))</f>
        <v>2.6307168652587087</v>
      </c>
      <c r="AJ6" s="14">
        <f>AI6*VLOOKUP('Données projet'!$B$10,Paramètres!$A$1:$I$89,3,0)*VLOOKUP('Données projet'!$B$10,Paramètres!$A$1:$I$89,5,0)</f>
        <v>1.4705707276796183</v>
      </c>
      <c r="AK6" s="14">
        <f t="shared" si="35"/>
        <v>0.64795168121757629</v>
      </c>
      <c r="AL6" s="22">
        <f t="shared" si="4"/>
        <v>3.6897598621626138</v>
      </c>
      <c r="AM6" s="62">
        <f t="shared" si="5"/>
        <v>264.0230931954959</v>
      </c>
      <c r="AN6" s="62">
        <f ca="1">AVERAGE(OFFSET($AM$3,0,0,'Données projet'!$E$10+1,1))-AVERAGE(OFFSET($H$3,0,0,'Données projet'!$E$10+1,1))</f>
        <v>512.21337090113502</v>
      </c>
      <c r="AO6" s="62">
        <f t="shared" si="36"/>
        <v>621.03633124474163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5.8</v>
      </c>
      <c r="BD6" s="13">
        <f>IF('Données projet'!$A$88&gt;35,BD5+BC6-BL5,IF(A6&lt;'Données projet'!$A$88,$BA$205^A6,IF(A6='Données projet'!$A$88,'Données projet'!$B$88,BD5+BC6-BL5)))</f>
        <v>2.4428896557373947</v>
      </c>
      <c r="BE6" s="14">
        <f>BD6*VLOOKUP('Données projet'!$B$11,Paramètres!$A$1:$I$89,3,0)*VLOOKUP('Données projet'!$B$11,Paramètres!$A$1:$I$89,5,0)</f>
        <v>2.1341084032521884</v>
      </c>
      <c r="BF6" s="14">
        <f t="shared" si="37"/>
        <v>0.90042541139273424</v>
      </c>
      <c r="BG6" s="22">
        <f t="shared" si="7"/>
        <v>5.2851463938399075</v>
      </c>
      <c r="BH6" s="62">
        <f t="shared" si="8"/>
        <v>265.61847972717322</v>
      </c>
      <c r="BI6" s="62">
        <f ca="1">AVERAGE(OFFSET($BH$3,0,0,'Données projet'!$E$11+1,1))-AVERAGE(OFFSET($H$3,0,0,'Données projet'!$E$11+1,1))</f>
        <v>321.23599968992932</v>
      </c>
      <c r="BJ6" s="62">
        <f t="shared" si="38"/>
        <v>388.05195847800502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4.3703703703703702</v>
      </c>
      <c r="N7" s="14">
        <f>IF('Données projet'!$A$36&gt;35,N6+M7-V6,IF(A7&lt;'Données projet'!$A$36,$K$205^A7,IF(A7='Données projet'!$A$36,'Données projet'!$B$36,N6+M7-V6)))</f>
        <v>2.0274281983848335</v>
      </c>
      <c r="O7" s="14">
        <f>N7*VLOOKUP('Données projet'!$B$9,Paramètres!$A$1:$I$89,3,0)*VLOOKUP('Données projet'!$B$9,Paramètres!$A$1:$I$89,5,0)</f>
        <v>1.2124020626341305</v>
      </c>
      <c r="P7" s="14">
        <f t="shared" si="33"/>
        <v>0.54633907048269681</v>
      </c>
      <c r="Q7" s="22">
        <f t="shared" si="2"/>
        <v>3.0631408068451407</v>
      </c>
      <c r="R7" s="62">
        <f t="shared" si="0"/>
        <v>264.61869636240067</v>
      </c>
      <c r="S7" s="62">
        <f ca="1">AVERAGE(OFFSET($R$3,0,0,'Données projet'!$E$9+1,1))-AVERAGE(OFFSET($H$3,0,0,'Données projet'!$E$9+1,1))</f>
        <v>295.83974441964551</v>
      </c>
      <c r="T7" s="62">
        <f t="shared" si="34"/>
        <v>212.24900914818096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8.4</v>
      </c>
      <c r="AI7" s="14">
        <f>IF('Données projet'!$A$62&gt;35,AI6+AH7-AQ6,IF(A7&lt;'Données projet'!$A$62,$AF$205^A7,IF(A7='Données projet'!$A$62,'Données projet'!$B$62,AI6+AH7-AQ6)))</f>
        <v>3.6316067281684004</v>
      </c>
      <c r="AJ7" s="14">
        <f>AI7*VLOOKUP('Données projet'!$B$10,Paramètres!$A$1:$I$89,3,0)*VLOOKUP('Données projet'!$B$10,Paramètres!$A$1:$I$89,5,0)</f>
        <v>2.030068161046136</v>
      </c>
      <c r="AK7" s="14">
        <f t="shared" si="35"/>
        <v>0.86152611916398214</v>
      </c>
      <c r="AL7" s="22">
        <f t="shared" si="4"/>
        <v>5.0361933713659557</v>
      </c>
      <c r="AM7" s="62">
        <f t="shared" si="5"/>
        <v>266.59174892692153</v>
      </c>
      <c r="AN7" s="62">
        <f ca="1">AVERAGE(OFFSET($AM$3,0,0,'Données projet'!$E$10+1,1))-AVERAGE(OFFSET($H$3,0,0,'Données projet'!$E$10+1,1))</f>
        <v>512.21337090113502</v>
      </c>
      <c r="AO7" s="62">
        <f t="shared" si="36"/>
        <v>621.03633124474163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5.8</v>
      </c>
      <c r="BD7" s="13">
        <f>IF('Données projet'!$A$88&gt;35,BD6+BC7-BL6,IF(A7&lt;'Données projet'!$A$88,$BA$205^A7,IF(A7='Données projet'!$A$88,'Données projet'!$B$88,BD6+BC7-BL6)))</f>
        <v>3.2900699687263746</v>
      </c>
      <c r="BE7" s="14">
        <f>BD7*VLOOKUP('Données projet'!$B$11,Paramètres!$A$1:$I$89,3,0)*VLOOKUP('Données projet'!$B$11,Paramètres!$A$1:$I$89,5,0)</f>
        <v>2.874205124679361</v>
      </c>
      <c r="BF7" s="14">
        <f t="shared" si="37"/>
        <v>1.1713814899478936</v>
      </c>
      <c r="BG7" s="22">
        <f t="shared" si="7"/>
        <v>7.0460633538091342</v>
      </c>
      <c r="BH7" s="62">
        <f t="shared" si="8"/>
        <v>268.60161890936467</v>
      </c>
      <c r="BI7" s="62">
        <f ca="1">AVERAGE(OFFSET($BH$3,0,0,'Données projet'!$E$11+1,1))-AVERAGE(OFFSET($H$3,0,0,'Données projet'!$E$11+1,1))</f>
        <v>321.23599968992932</v>
      </c>
      <c r="BJ7" s="62">
        <f t="shared" si="38"/>
        <v>388.05195847800502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4.3703703703703702</v>
      </c>
      <c r="N8" s="14">
        <f>IF('Données projet'!$A$36&gt;35,N7+M8-V7,IF(A8&lt;'Données projet'!$A$36,$K$205^A8,IF(A8='Données projet'!$A$36,'Données projet'!$B$36,N7+M8-V7)))</f>
        <v>2.4192561469903198</v>
      </c>
      <c r="O8" s="14">
        <f>N8*VLOOKUP('Données projet'!$B$9,Paramètres!$A$1:$I$89,3,0)*VLOOKUP('Données projet'!$B$9,Paramètres!$A$1:$I$89,5,0)</f>
        <v>1.4467151759002115</v>
      </c>
      <c r="P8" s="14">
        <f t="shared" si="33"/>
        <v>0.63865529401953391</v>
      </c>
      <c r="Q8" s="22">
        <f t="shared" si="2"/>
        <v>3.6320202351102231</v>
      </c>
      <c r="R8" s="62">
        <f t="shared" si="0"/>
        <v>266.40979801288802</v>
      </c>
      <c r="S8" s="62">
        <f ca="1">AVERAGE(OFFSET($R$3,0,0,'Données projet'!$E$9+1,1))-AVERAGE(OFFSET($H$3,0,0,'Données projet'!$E$9+1,1))</f>
        <v>295.83974441964551</v>
      </c>
      <c r="T8" s="62">
        <f t="shared" si="34"/>
        <v>212.24900914818096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8.4</v>
      </c>
      <c r="AI8" s="14">
        <f>IF('Données projet'!$A$62&gt;35,AI7+AH8-AQ7,IF(A8&lt;'Données projet'!$A$62,$AF$205^A8,IF(A8='Données projet'!$A$62,'Données projet'!$B$62,AI7+AH8-AQ7)))</f>
        <v>5.0132979349645854</v>
      </c>
      <c r="AJ8" s="14">
        <f>AI8*VLOOKUP('Données projet'!$B$10,Paramètres!$A$1:$I$89,3,0)*VLOOKUP('Données projet'!$B$10,Paramètres!$A$1:$I$89,5,0)</f>
        <v>2.802433545645203</v>
      </c>
      <c r="AK8" s="14">
        <f t="shared" si="35"/>
        <v>1.1454978442327994</v>
      </c>
      <c r="AL8" s="22">
        <f t="shared" si="4"/>
        <v>6.8759805040375204</v>
      </c>
      <c r="AM8" s="62">
        <f t="shared" si="5"/>
        <v>269.65375828181527</v>
      </c>
      <c r="AN8" s="62">
        <f ca="1">AVERAGE(OFFSET($AM$3,0,0,'Données projet'!$E$10+1,1))-AVERAGE(OFFSET($H$3,0,0,'Données projet'!$E$10+1,1))</f>
        <v>512.21337090113502</v>
      </c>
      <c r="AO8" s="62">
        <f t="shared" si="36"/>
        <v>621.03633124474163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5.8</v>
      </c>
      <c r="BD8" s="13">
        <f>IF('Données projet'!$A$88&gt;35,BD7+BC8-BL7,IF(A8&lt;'Données projet'!$A$88,$BA$205^A8,IF(A8='Données projet'!$A$88,'Données projet'!$B$88,BD7+BC8-BL7)))</f>
        <v>4.4310476216936356</v>
      </c>
      <c r="BE8" s="14">
        <f>BD8*VLOOKUP('Données projet'!$B$11,Paramètres!$A$1:$I$89,3,0)*VLOOKUP('Données projet'!$B$11,Paramètres!$A$1:$I$89,5,0)</f>
        <v>3.8709632023115605</v>
      </c>
      <c r="BF8" s="14">
        <f t="shared" si="37"/>
        <v>1.5238736908481918</v>
      </c>
      <c r="BG8" s="22">
        <f t="shared" si="7"/>
        <v>9.3960075889199022</v>
      </c>
      <c r="BH8" s="62">
        <f t="shared" si="8"/>
        <v>272.1737853666977</v>
      </c>
      <c r="BI8" s="62">
        <f ca="1">AVERAGE(OFFSET($BH$3,0,0,'Données projet'!$E$11+1,1))-AVERAGE(OFFSET($H$3,0,0,'Données projet'!$E$11+1,1))</f>
        <v>321.23599968992932</v>
      </c>
      <c r="BJ8" s="62">
        <f t="shared" si="38"/>
        <v>388.05195847800502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4.3703703703703702</v>
      </c>
      <c r="N9" s="14">
        <f>IF('Données projet'!$A$36&gt;35,N8+M9-V8,IF(A9&lt;'Données projet'!$A$36,$K$205^A9,IF(A9='Données projet'!$A$36,'Données projet'!$B$36,N8+M9-V8)))</f>
        <v>2.8868101516064182</v>
      </c>
      <c r="O9" s="14">
        <f>N9*VLOOKUP('Données projet'!$B$9,Paramètres!$A$1:$I$89,3,0)*VLOOKUP('Données projet'!$B$9,Paramètres!$A$1:$I$89,5,0)</f>
        <v>1.7263124706606381</v>
      </c>
      <c r="P9" s="14">
        <f t="shared" si="33"/>
        <v>0.7465704113359678</v>
      </c>
      <c r="Q9" s="22">
        <f t="shared" si="2"/>
        <v>4.3069376861440878</v>
      </c>
      <c r="R9" s="62">
        <f t="shared" si="0"/>
        <v>268.30693768614407</v>
      </c>
      <c r="S9" s="62">
        <f ca="1">AVERAGE(OFFSET($R$3,0,0,'Données projet'!$E$9+1,1))-AVERAGE(OFFSET($H$3,0,0,'Données projet'!$E$9+1,1))</f>
        <v>295.83974441964551</v>
      </c>
      <c r="T9" s="62">
        <f t="shared" si="34"/>
        <v>212.24900914818096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8.4</v>
      </c>
      <c r="AI9" s="14">
        <f>IF('Données projet'!$A$62&gt;35,AI8+AH9-AQ8,IF(A9&lt;'Données projet'!$A$62,$AF$205^A9,IF(A9='Données projet'!$A$62,'Données projet'!$B$62,AI8+AH9-AQ8)))</f>
        <v>6.9206712251566076</v>
      </c>
      <c r="AJ9" s="14">
        <f>AI9*VLOOKUP('Données projet'!$B$10,Paramètres!$A$1:$I$89,3,0)*VLOOKUP('Données projet'!$B$10,Paramètres!$A$1:$I$89,5,0)</f>
        <v>3.8686552148625433</v>
      </c>
      <c r="AK9" s="14">
        <f t="shared" si="35"/>
        <v>1.5230708413289964</v>
      </c>
      <c r="AL9" s="22">
        <f t="shared" si="4"/>
        <v>9.3905895478669326</v>
      </c>
      <c r="AM9" s="62">
        <f t="shared" si="5"/>
        <v>273.39058954786691</v>
      </c>
      <c r="AN9" s="62">
        <f ca="1">AVERAGE(OFFSET($AM$3,0,0,'Données projet'!$E$10+1,1))-AVERAGE(OFFSET($H$3,0,0,'Données projet'!$E$10+1,1))</f>
        <v>512.21337090113502</v>
      </c>
      <c r="AO9" s="62">
        <f t="shared" si="36"/>
        <v>621.03633124474163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5.8</v>
      </c>
      <c r="BD9" s="13">
        <f>IF('Données projet'!$A$88&gt;35,BD8+BC9-BL8,IF(A9&lt;'Données projet'!$A$88,$BA$205^A9,IF(A9='Données projet'!$A$88,'Données projet'!$B$88,BD8+BC9-BL8)))</f>
        <v>5.9677098701087665</v>
      </c>
      <c r="BE9" s="14">
        <f>BD9*VLOOKUP('Données projet'!$B$11,Paramètres!$A$1:$I$89,3,0)*VLOOKUP('Données projet'!$B$11,Paramètres!$A$1:$I$89,5,0)</f>
        <v>5.2133913425270189</v>
      </c>
      <c r="BF9" s="14">
        <f t="shared" si="37"/>
        <v>1.9824378698032765</v>
      </c>
      <c r="BG9" s="22">
        <f t="shared" si="7"/>
        <v>12.53273587814193</v>
      </c>
      <c r="BH9" s="62">
        <f t="shared" si="8"/>
        <v>276.53273587814192</v>
      </c>
      <c r="BI9" s="62">
        <f ca="1">AVERAGE(OFFSET($BH$3,0,0,'Données projet'!$E$11+1,1))-AVERAGE(OFFSET($H$3,0,0,'Données projet'!$E$11+1,1))</f>
        <v>321.23599968992932</v>
      </c>
      <c r="BJ9" s="62">
        <f t="shared" si="38"/>
        <v>388.05195847800502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4.3703703703703702</v>
      </c>
      <c r="N10" s="14">
        <f>IF('Données projet'!$A$36&gt;35,N9+M10-V9,IF(A10&lt;'Données projet'!$A$36,$K$205^A10,IF(A10='Données projet'!$A$36,'Données projet'!$B$36,N9+M10-V9)))</f>
        <v>3.4447252978091596</v>
      </c>
      <c r="O10" s="14">
        <f>N10*VLOOKUP('Données projet'!$B$9,Paramètres!$A$1:$I$89,3,0)*VLOOKUP('Données projet'!$B$9,Paramètres!$A$1:$I$89,5,0)</f>
        <v>2.0599457280898776</v>
      </c>
      <c r="P10" s="14">
        <f t="shared" si="33"/>
        <v>0.87272020493939328</v>
      </c>
      <c r="Q10" s="22">
        <f t="shared" si="2"/>
        <v>5.1077265000259793</v>
      </c>
      <c r="R10" s="62">
        <f t="shared" si="0"/>
        <v>270.32994872224822</v>
      </c>
      <c r="S10" s="62">
        <f ca="1">AVERAGE(OFFSET($R$3,0,0,'Données projet'!$E$9+1,1))-AVERAGE(OFFSET($H$3,0,0,'Données projet'!$E$9+1,1))</f>
        <v>295.83974441964551</v>
      </c>
      <c r="T10" s="62">
        <f t="shared" si="34"/>
        <v>212.24900914818096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8.4</v>
      </c>
      <c r="AI10" s="14">
        <f>IF('Données projet'!$A$62&gt;35,AI9+AH10-AQ9,IF(A10&lt;'Données projet'!$A$62,$AF$205^A10,IF(A10='Données projet'!$A$62,'Données projet'!$B$62,AI9+AH10-AQ9)))</f>
        <v>9.5537290677796101</v>
      </c>
      <c r="AJ10" s="14">
        <f>AI10*VLOOKUP('Données projet'!$B$10,Paramètres!$A$1:$I$89,3,0)*VLOOKUP('Données projet'!$B$10,Paramètres!$A$1:$I$89,5,0)</f>
        <v>5.3405345488888027</v>
      </c>
      <c r="AK10" s="14">
        <f t="shared" si="35"/>
        <v>2.0250974712748349</v>
      </c>
      <c r="AL10" s="22">
        <f t="shared" si="4"/>
        <v>12.828475768451668</v>
      </c>
      <c r="AM10" s="62">
        <f t="shared" si="5"/>
        <v>278.05069799067388</v>
      </c>
      <c r="AN10" s="62">
        <f ca="1">AVERAGE(OFFSET($AM$3,0,0,'Données projet'!$E$10+1,1))-AVERAGE(OFFSET($H$3,0,0,'Données projet'!$E$10+1,1))</f>
        <v>512.21337090113502</v>
      </c>
      <c r="AO10" s="62">
        <f t="shared" si="36"/>
        <v>621.03633124474163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5.8</v>
      </c>
      <c r="BD10" s="13">
        <f>IF('Données projet'!$A$88&gt;35,BD9+BC10-BL9,IF(A10&lt;'Données projet'!$A$88,$BA$205^A10,IF(A10='Données projet'!$A$88,'Données projet'!$B$88,BD9+BC10-BL9)))</f>
        <v>8.0372778932539148</v>
      </c>
      <c r="BE10" s="14">
        <f>BD10*VLOOKUP('Données projet'!$B$11,Paramètres!$A$1:$I$89,3,0)*VLOOKUP('Données projet'!$B$11,Paramètres!$A$1:$I$89,5,0)</f>
        <v>7.0213659675466209</v>
      </c>
      <c r="BF10" s="14">
        <f t="shared" si="37"/>
        <v>2.5789932139603198</v>
      </c>
      <c r="BG10" s="22">
        <f t="shared" si="7"/>
        <v>16.72062557445792</v>
      </c>
      <c r="BH10" s="62">
        <f t="shared" si="8"/>
        <v>281.94284779668016</v>
      </c>
      <c r="BI10" s="62">
        <f ca="1">AVERAGE(OFFSET($BH$3,0,0,'Données projet'!$E$11+1,1))-AVERAGE(OFFSET($H$3,0,0,'Données projet'!$E$11+1,1))</f>
        <v>321.23599968992932</v>
      </c>
      <c r="BJ10" s="62">
        <f t="shared" si="38"/>
        <v>388.05195847800502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4.3703703703703702</v>
      </c>
      <c r="N11" s="14">
        <f>IF('Données projet'!$A$36&gt;35,N10+M11-V10,IF(A11&lt;'Données projet'!$A$36,$K$205^A11,IF(A11='Données projet'!$A$36,'Données projet'!$B$36,N10+M11-V10)))</f>
        <v>4.110465099605972</v>
      </c>
      <c r="O11" s="14">
        <f>N11*VLOOKUP('Données projet'!$B$9,Paramètres!$A$1:$I$89,3,0)*VLOOKUP('Données projet'!$B$9,Paramètres!$A$1:$I$89,5,0)</f>
        <v>2.4580581295643715</v>
      </c>
      <c r="P11" s="14">
        <f t="shared" si="33"/>
        <v>1.0201858318313493</v>
      </c>
      <c r="Q11" s="22">
        <f t="shared" si="2"/>
        <v>6.0579415660975471</v>
      </c>
      <c r="R11" s="62">
        <f t="shared" si="0"/>
        <v>272.50238601054201</v>
      </c>
      <c r="S11" s="62">
        <f ca="1">AVERAGE(OFFSET($R$3,0,0,'Données projet'!$E$9+1,1))-AVERAGE(OFFSET($H$3,0,0,'Données projet'!$E$9+1,1))</f>
        <v>295.83974441964551</v>
      </c>
      <c r="T11" s="62">
        <f t="shared" si="34"/>
        <v>212.24900914818096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8.4</v>
      </c>
      <c r="AI11" s="14">
        <f>IF('Données projet'!$A$62&gt;35,AI10+AH11-AQ10,IF(A11&lt;'Données projet'!$A$62,$AF$205^A11,IF(A11='Données projet'!$A$62,'Données projet'!$B$62,AI10+AH11-AQ10)))</f>
        <v>13.188567428077993</v>
      </c>
      <c r="AJ11" s="14">
        <f>AI11*VLOOKUP('Données projet'!$B$10,Paramètres!$A$1:$I$89,3,0)*VLOOKUP('Données projet'!$B$10,Paramètres!$A$1:$I$89,5,0)</f>
        <v>7.3724091922955983</v>
      </c>
      <c r="AK11" s="14">
        <f t="shared" si="35"/>
        <v>2.6925994884028341</v>
      </c>
      <c r="AL11" s="22">
        <f t="shared" si="4"/>
        <v>17.529890118883106</v>
      </c>
      <c r="AM11" s="62">
        <f t="shared" si="5"/>
        <v>283.97433456332755</v>
      </c>
      <c r="AN11" s="62">
        <f ca="1">AVERAGE(OFFSET($AM$3,0,0,'Données projet'!$E$10+1,1))-AVERAGE(OFFSET($H$3,0,0,'Données projet'!$E$10+1,1))</f>
        <v>512.21337090113502</v>
      </c>
      <c r="AO11" s="62">
        <f t="shared" si="36"/>
        <v>621.03633124474163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5.8</v>
      </c>
      <c r="BD11" s="13">
        <f>IF('Données projet'!$A$88&gt;35,BD10+BC11-BL10,IF(A11&lt;'Données projet'!$A$88,$BA$205^A11,IF(A11='Données projet'!$A$88,'Données projet'!$B$88,BD10+BC11-BL10)))</f>
        <v>10.824560399115168</v>
      </c>
      <c r="BE11" s="14">
        <f>BD11*VLOOKUP('Données projet'!$B$11,Paramètres!$A$1:$I$89,3,0)*VLOOKUP('Données projet'!$B$11,Paramètres!$A$1:$I$89,5,0)</f>
        <v>9.4563359646670122</v>
      </c>
      <c r="BF11" s="14">
        <f t="shared" si="37"/>
        <v>3.3550640345230081</v>
      </c>
      <c r="BG11" s="22">
        <f t="shared" si="7"/>
        <v>22.313188331922618</v>
      </c>
      <c r="BH11" s="62">
        <f t="shared" si="8"/>
        <v>288.75763277636707</v>
      </c>
      <c r="BI11" s="62">
        <f ca="1">AVERAGE(OFFSET($BH$3,0,0,'Données projet'!$E$11+1,1))-AVERAGE(OFFSET($H$3,0,0,'Données projet'!$E$11+1,1))</f>
        <v>321.23599968992932</v>
      </c>
      <c r="BJ11" s="62">
        <f t="shared" si="38"/>
        <v>388.05195847800502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4.3703703703703702</v>
      </c>
      <c r="N12" s="14">
        <f>IF('Données projet'!$A$36&gt;35,N11+M12-V11,IF(A12&lt;'Données projet'!$A$36,$K$205^A12,IF(A12='Données projet'!$A$36,'Données projet'!$B$36,N11+M12-V11)))</f>
        <v>4.9048681315240179</v>
      </c>
      <c r="O12" s="14">
        <f>N12*VLOOKUP('Données projet'!$B$9,Paramètres!$A$1:$I$89,3,0)*VLOOKUP('Données projet'!$B$9,Paramètres!$A$1:$I$89,5,0)</f>
        <v>2.9331111426513625</v>
      </c>
      <c r="P12" s="14">
        <f t="shared" si="33"/>
        <v>1.192569079504352</v>
      </c>
      <c r="Q12" s="22">
        <f t="shared" si="2"/>
        <v>7.1855597202545356</v>
      </c>
      <c r="R12" s="62">
        <f t="shared" si="0"/>
        <v>274.85222638692125</v>
      </c>
      <c r="S12" s="62">
        <f ca="1">AVERAGE(OFFSET($R$3,0,0,'Données projet'!$E$9+1,1))-AVERAGE(OFFSET($H$3,0,0,'Données projet'!$E$9+1,1))</f>
        <v>295.83974441964551</v>
      </c>
      <c r="T12" s="62">
        <f t="shared" si="34"/>
        <v>212.24900914818096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8.4</v>
      </c>
      <c r="AI12" s="14">
        <f>IF('Données projet'!$A$62&gt;35,AI11+AH12-AQ11,IF(A12&lt;'Données projet'!$A$62,$AF$205^A12,IF(A12='Données projet'!$A$62,'Données projet'!$B$62,AI11+AH12-AQ11)))</f>
        <v>18.206326510930136</v>
      </c>
      <c r="AJ12" s="14">
        <f>AI12*VLOOKUP('Données projet'!$B$10,Paramètres!$A$1:$I$89,3,0)*VLOOKUP('Données projet'!$B$10,Paramètres!$A$1:$I$89,5,0)</f>
        <v>10.177336519609947</v>
      </c>
      <c r="AK12" s="14">
        <f t="shared" si="35"/>
        <v>3.5801200227577907</v>
      </c>
      <c r="AL12" s="22">
        <f t="shared" si="4"/>
        <v>23.960903477957146</v>
      </c>
      <c r="AM12" s="62">
        <f t="shared" si="5"/>
        <v>291.62757014462386</v>
      </c>
      <c r="AN12" s="62">
        <f ca="1">AVERAGE(OFFSET($AM$3,0,0,'Données projet'!$E$10+1,1))-AVERAGE(OFFSET($H$3,0,0,'Données projet'!$E$10+1,1))</f>
        <v>512.21337090113502</v>
      </c>
      <c r="AO12" s="62">
        <f t="shared" si="36"/>
        <v>621.03633124474163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5.8</v>
      </c>
      <c r="BD12" s="13">
        <f>IF('Données projet'!$A$88&gt;35,BD11+BC12-BL11,IF(A12&lt;'Données projet'!$A$88,$BA$205^A12,IF(A12='Données projet'!$A$88,'Données projet'!$B$88,BD11+BC12-BL11)))</f>
        <v>14.578456710130657</v>
      </c>
      <c r="BE12" s="14">
        <f>BD12*VLOOKUP('Données projet'!$B$11,Paramètres!$A$1:$I$89,3,0)*VLOOKUP('Données projet'!$B$11,Paramètres!$A$1:$I$89,5,0)</f>
        <v>12.735739781970144</v>
      </c>
      <c r="BF12" s="14">
        <f t="shared" si="37"/>
        <v>4.364670141362768</v>
      </c>
      <c r="BG12" s="22">
        <f t="shared" si="7"/>
        <v>29.783213949804821</v>
      </c>
      <c r="BH12" s="62">
        <f t="shared" si="8"/>
        <v>297.44988061647149</v>
      </c>
      <c r="BI12" s="62">
        <f ca="1">AVERAGE(OFFSET($BH$3,0,0,'Données projet'!$E$11+1,1))-AVERAGE(OFFSET($H$3,0,0,'Données projet'!$E$11+1,1))</f>
        <v>321.23599968992932</v>
      </c>
      <c r="BJ12" s="62">
        <f t="shared" si="38"/>
        <v>388.05195847800502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4.3703703703703702</v>
      </c>
      <c r="N13" s="14">
        <f>IF('Données projet'!$A$36&gt;35,N12+M13-V12,IF(A13&lt;'Données projet'!$A$36,$K$205^A13,IF(A13='Données projet'!$A$36,'Données projet'!$B$36,N12+M13-V12)))</f>
        <v>5.8528003047504482</v>
      </c>
      <c r="O13" s="14">
        <f>N13*VLOOKUP('Données projet'!$B$9,Paramètres!$A$1:$I$89,3,0)*VLOOKUP('Données projet'!$B$9,Paramètres!$A$1:$I$89,5,0)</f>
        <v>3.499974582240768</v>
      </c>
      <c r="P13" s="14">
        <f t="shared" si="33"/>
        <v>1.3940803381250744</v>
      </c>
      <c r="Q13" s="22">
        <f t="shared" si="2"/>
        <v>8.5238123196371749</v>
      </c>
      <c r="R13" s="62">
        <f t="shared" si="0"/>
        <v>277.41270120852602</v>
      </c>
      <c r="S13" s="62">
        <f ca="1">AVERAGE(OFFSET($R$3,0,0,'Données projet'!$E$9+1,1))-AVERAGE(OFFSET($H$3,0,0,'Données projet'!$E$9+1,1))</f>
        <v>295.83974441964551</v>
      </c>
      <c r="T13" s="62">
        <f t="shared" si="34"/>
        <v>212.24900914818096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8.4</v>
      </c>
      <c r="AI13" s="14">
        <f>IF('Données projet'!$A$62&gt;35,AI12+AH13-AQ12,IF(A13&lt;'Données projet'!$A$62,$AF$205^A13,IF(A13='Données projet'!$A$62,'Données projet'!$B$62,AI12+AH13-AQ12)))</f>
        <v>25.133156184720182</v>
      </c>
      <c r="AJ13" s="14">
        <f>AI13*VLOOKUP('Données projet'!$B$10,Paramètres!$A$1:$I$89,3,0)*VLOOKUP('Données projet'!$B$10,Paramètres!$A$1:$I$89,5,0)</f>
        <v>14.049434307258583</v>
      </c>
      <c r="AK13" s="14">
        <f t="shared" si="35"/>
        <v>4.7601804251080955</v>
      </c>
      <c r="AL13" s="22">
        <f t="shared" si="4"/>
        <v>32.760078992205301</v>
      </c>
      <c r="AM13" s="62">
        <f t="shared" si="5"/>
        <v>301.64896788109417</v>
      </c>
      <c r="AN13" s="62">
        <f ca="1">AVERAGE(OFFSET($AM$3,0,0,'Données projet'!$E$10+1,1))-AVERAGE(OFFSET($H$3,0,0,'Données projet'!$E$10+1,1))</f>
        <v>512.21337090113502</v>
      </c>
      <c r="AO13" s="62">
        <f t="shared" si="36"/>
        <v>621.03633124474163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5.8</v>
      </c>
      <c r="BD13" s="13">
        <f>IF('Données projet'!$A$88&gt;35,BD12+BC13-BL12,IF(A13&lt;'Données projet'!$A$88,$BA$205^A13,IF(A13='Données projet'!$A$88,'Données projet'!$B$88,BD12+BC13-BL12)))</f>
        <v>19.634183025716826</v>
      </c>
      <c r="BE13" s="14">
        <f>BD13*VLOOKUP('Données projet'!$B$11,Paramètres!$A$1:$I$89,3,0)*VLOOKUP('Données projet'!$B$11,Paramètres!$A$1:$I$89,5,0)</f>
        <v>17.152422291266223</v>
      </c>
      <c r="BF13" s="14">
        <f t="shared" si="37"/>
        <v>5.678086989362658</v>
      </c>
      <c r="BG13" s="22">
        <f t="shared" si="7"/>
        <v>39.763136997095295</v>
      </c>
      <c r="BH13" s="62">
        <f t="shared" si="8"/>
        <v>308.65202588598413</v>
      </c>
      <c r="BI13" s="62">
        <f ca="1">AVERAGE(OFFSET($BH$3,0,0,'Données projet'!$E$11+1,1))-AVERAGE(OFFSET($H$3,0,0,'Données projet'!$E$11+1,1))</f>
        <v>321.23599968992932</v>
      </c>
      <c r="BJ13" s="62">
        <f t="shared" si="38"/>
        <v>388.05195847800502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4.3703703703703702</v>
      </c>
      <c r="N14" s="14">
        <f>IF('Données projet'!$A$36&gt;35,N13+M14-V13,IF(A14&lt;'Données projet'!$A$36,$K$205^A14,IF(A14='Données projet'!$A$36,'Données projet'!$B$36,N13+M14-V13)))</f>
        <v>6.9839332044678839</v>
      </c>
      <c r="O14" s="14">
        <f>N14*VLOOKUP('Données projet'!$B$9,Paramètres!$A$1:$I$89,3,0)*VLOOKUP('Données projet'!$B$9,Paramètres!$A$1:$I$89,5,0)</f>
        <v>4.1763920562717951</v>
      </c>
      <c r="P14" s="14">
        <f t="shared" si="33"/>
        <v>1.629641437588379</v>
      </c>
      <c r="Q14" s="22">
        <f t="shared" si="2"/>
        <v>10.112175001806468</v>
      </c>
      <c r="R14" s="62">
        <f t="shared" si="0"/>
        <v>280.22328611291761</v>
      </c>
      <c r="S14" s="62">
        <f ca="1">AVERAGE(OFFSET($R$3,0,0,'Données projet'!$E$9+1,1))-AVERAGE(OFFSET($H$3,0,0,'Données projet'!$E$9+1,1))</f>
        <v>295.83974441964551</v>
      </c>
      <c r="T14" s="62">
        <f t="shared" si="34"/>
        <v>212.24900914818096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8.4</v>
      </c>
      <c r="AI14" s="14">
        <f>IF('Données projet'!$A$62&gt;35,AI13+AH14-AQ13,IF(A14&lt;'Données projet'!$A$62,$AF$205^A14,IF(A14='Données projet'!$A$62,'Données projet'!$B$62,AI13+AH14-AQ13)))</f>
        <v>34.695386761646446</v>
      </c>
      <c r="AJ14" s="14">
        <f>AI14*VLOOKUP('Données projet'!$B$10,Paramètres!$A$1:$I$89,3,0)*VLOOKUP('Données projet'!$B$10,Paramètres!$A$1:$I$89,5,0)</f>
        <v>19.394721199760365</v>
      </c>
      <c r="AK14" s="14">
        <f t="shared" si="35"/>
        <v>6.3292061538561635</v>
      </c>
      <c r="AL14" s="22">
        <f t="shared" si="4"/>
        <v>44.802506807548788</v>
      </c>
      <c r="AM14" s="62">
        <f t="shared" si="5"/>
        <v>314.91361791865995</v>
      </c>
      <c r="AN14" s="62">
        <f ca="1">AVERAGE(OFFSET($AM$3,0,0,'Données projet'!$E$10+1,1))-AVERAGE(OFFSET($H$3,0,0,'Données projet'!$E$10+1,1))</f>
        <v>512.21337090113502</v>
      </c>
      <c r="AO14" s="62">
        <f t="shared" si="36"/>
        <v>621.03633124474163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5.8</v>
      </c>
      <c r="BD14" s="13">
        <f>IF('Données projet'!$A$88&gt;35,BD13+BC14-BL13,IF(A14&lt;'Données projet'!$A$88,$BA$205^A14,IF(A14='Données projet'!$A$88,'Données projet'!$B$88,BD13+BC14-BL13)))</f>
        <v>26.443206626903088</v>
      </c>
      <c r="BE14" s="14">
        <f>BD14*VLOOKUP('Données projet'!$B$11,Paramètres!$A$1:$I$89,3,0)*VLOOKUP('Données projet'!$B$11,Paramètres!$A$1:$I$89,5,0)</f>
        <v>23.100785309262541</v>
      </c>
      <c r="BF14" s="14">
        <f t="shared" si="37"/>
        <v>7.3867373282653306</v>
      </c>
      <c r="BG14" s="22">
        <f t="shared" si="7"/>
        <v>53.099101927027704</v>
      </c>
      <c r="BH14" s="62">
        <f t="shared" si="8"/>
        <v>323.21021303813882</v>
      </c>
      <c r="BI14" s="62">
        <f ca="1">AVERAGE(OFFSET($BH$3,0,0,'Données projet'!$E$11+1,1))-AVERAGE(OFFSET($H$3,0,0,'Données projet'!$E$11+1,1))</f>
        <v>321.23599968992932</v>
      </c>
      <c r="BJ14" s="62">
        <f t="shared" si="38"/>
        <v>388.05195847800502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4.3703703703703702</v>
      </c>
      <c r="N15" s="14">
        <f>IF('Données projet'!$A$36&gt;35,N14+M15-V14,IF(A15&lt;'Données projet'!$A$36,$K$205^A15,IF(A15='Données projet'!$A$36,'Données projet'!$B$36,N14+M15-V14)))</f>
        <v>8.3336728514178713</v>
      </c>
      <c r="O15" s="14">
        <f>N15*VLOOKUP('Données projet'!$B$9,Paramètres!$A$1:$I$89,3,0)*VLOOKUP('Données projet'!$B$9,Paramètres!$A$1:$I$89,5,0)</f>
        <v>4.983536365147887</v>
      </c>
      <c r="P15" s="14">
        <f t="shared" si="33"/>
        <v>1.9050058611951031</v>
      </c>
      <c r="Q15" s="22">
        <f t="shared" si="2"/>
        <v>11.997544377547372</v>
      </c>
      <c r="R15" s="62">
        <f t="shared" si="0"/>
        <v>283.33087771088071</v>
      </c>
      <c r="S15" s="62">
        <f ca="1">AVERAGE(OFFSET($R$3,0,0,'Données projet'!$E$9+1,1))-AVERAGE(OFFSET($H$3,0,0,'Données projet'!$E$9+1,1))</f>
        <v>295.83974441964551</v>
      </c>
      <c r="T15" s="62">
        <f t="shared" si="34"/>
        <v>212.24900914818096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8.4</v>
      </c>
      <c r="AI15" s="14">
        <f>IF('Données projet'!$A$62&gt;35,AI14+AH15-AQ14,IF(A15&lt;'Données projet'!$A$62,$AF$205^A15,IF(A15='Données projet'!$A$62,'Données projet'!$B$62,AI14+AH15-AQ14)))</f>
        <v>47.895690206710654</v>
      </c>
      <c r="AJ15" s="14">
        <f>AI15*VLOOKUP('Données projet'!$B$10,Paramètres!$A$1:$I$89,3,0)*VLOOKUP('Données projet'!$B$10,Paramètres!$A$1:$I$89,5,0)</f>
        <v>26.77369082555126</v>
      </c>
      <c r="AK15" s="14">
        <f t="shared" si="35"/>
        <v>8.415405921741101</v>
      </c>
      <c r="AL15" s="22">
        <f t="shared" si="4"/>
        <v>61.287676834867518</v>
      </c>
      <c r="AM15" s="62">
        <f t="shared" si="5"/>
        <v>332.62101016820083</v>
      </c>
      <c r="AN15" s="62">
        <f ca="1">AVERAGE(OFFSET($AM$3,0,0,'Données projet'!$E$10+1,1))-AVERAGE(OFFSET($H$3,0,0,'Données projet'!$E$10+1,1))</f>
        <v>512.21337090113502</v>
      </c>
      <c r="AO15" s="62">
        <f t="shared" si="36"/>
        <v>621.03633124474163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5.8</v>
      </c>
      <c r="BD15" s="13">
        <f>IF('Données projet'!$A$88&gt;35,BD14+BC15-BL14,IF(A15&lt;'Données projet'!$A$88,$BA$205^A15,IF(A15='Données projet'!$A$88,'Données projet'!$B$88,BD14+BC15-BL14)))</f>
        <v>35.613561093793592</v>
      </c>
      <c r="BE15" s="14">
        <f>BD15*VLOOKUP('Données projet'!$B$11,Paramètres!$A$1:$I$89,3,0)*VLOOKUP('Données projet'!$B$11,Paramètres!$A$1:$I$89,5,0)</f>
        <v>31.112006971538086</v>
      </c>
      <c r="BF15" s="14">
        <f t="shared" si="37"/>
        <v>9.6095548481396289</v>
      </c>
      <c r="BG15" s="22">
        <f t="shared" si="7"/>
        <v>70.9233868359387</v>
      </c>
      <c r="BH15" s="62">
        <f t="shared" si="8"/>
        <v>342.256720169272</v>
      </c>
      <c r="BI15" s="62">
        <f ca="1">AVERAGE(OFFSET($BH$3,0,0,'Données projet'!$E$11+1,1))-AVERAGE(OFFSET($H$3,0,0,'Données projet'!$E$11+1,1))</f>
        <v>321.23599968992932</v>
      </c>
      <c r="BJ15" s="62">
        <f t="shared" si="38"/>
        <v>388.05195847800502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4.3703703703703702</v>
      </c>
      <c r="N16" s="14">
        <f>IF('Données projet'!$A$36&gt;35,N15+M16-V15,IF(A16&lt;'Données projet'!$A$36,$K$205^A16,IF(A16='Données projet'!$A$36,'Données projet'!$B$36,N15+M16-V15)))</f>
        <v>9.944267959210924</v>
      </c>
      <c r="O16" s="14">
        <f>N16*VLOOKUP('Données projet'!$B$9,Paramètres!$A$1:$I$89,3,0)*VLOOKUP('Données projet'!$B$9,Paramètres!$A$1:$I$89,5,0)</f>
        <v>5.9466722396081328</v>
      </c>
      <c r="P16" s="14">
        <f t="shared" si="33"/>
        <v>2.2268992721234029</v>
      </c>
      <c r="Q16" s="22">
        <f t="shared" si="2"/>
        <v>14.235637049599092</v>
      </c>
      <c r="R16" s="62">
        <f t="shared" si="0"/>
        <v>286.79119260515461</v>
      </c>
      <c r="S16" s="62">
        <f ca="1">AVERAGE(OFFSET($R$3,0,0,'Données projet'!$E$9+1,1))-AVERAGE(OFFSET($H$3,0,0,'Données projet'!$E$9+1,1))</f>
        <v>295.83974441964551</v>
      </c>
      <c r="T16" s="62">
        <f t="shared" si="34"/>
        <v>212.24900914818096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8.4</v>
      </c>
      <c r="AI16" s="14">
        <f>IF('Données projet'!$A$62&gt;35,AI15+AH16-AQ15,IF(A16&lt;'Données projet'!$A$62,$AF$205^A16,IF(A16='Données projet'!$A$62,'Données projet'!$B$62,AI15+AH16-AQ15)))</f>
        <v>66.118217852324591</v>
      </c>
      <c r="AJ16" s="14">
        <f>AI16*VLOOKUP('Données projet'!$B$10,Paramètres!$A$1:$I$89,3,0)*VLOOKUP('Données projet'!$B$10,Paramètres!$A$1:$I$89,5,0)</f>
        <v>36.960083779449448</v>
      </c>
      <c r="AK16" s="14">
        <f t="shared" si="35"/>
        <v>11.189247925591365</v>
      </c>
      <c r="AL16" s="22">
        <f t="shared" si="4"/>
        <v>83.860086052946073</v>
      </c>
      <c r="AM16" s="62">
        <f t="shared" si="5"/>
        <v>356.41564160850163</v>
      </c>
      <c r="AN16" s="62">
        <f ca="1">AVERAGE(OFFSET($AM$3,0,0,'Données projet'!$E$10+1,1))-AVERAGE(OFFSET($H$3,0,0,'Données projet'!$E$10+1,1))</f>
        <v>512.21337090113502</v>
      </c>
      <c r="AO16" s="62">
        <f t="shared" si="36"/>
        <v>621.03633124474163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5.8</v>
      </c>
      <c r="BD16" s="13">
        <f>IF('Données projet'!$A$88&gt;35,BD15+BC16-BL15,IF(A16&lt;'Données projet'!$A$88,$BA$205^A16,IF(A16='Données projet'!$A$88,'Données projet'!$B$88,BD15+BC16-BL15)))</f>
        <v>47.964142612378375</v>
      </c>
      <c r="BE16" s="14">
        <f>BD16*VLOOKUP('Données projet'!$B$11,Paramètres!$A$1:$I$89,3,0)*VLOOKUP('Données projet'!$B$11,Paramètres!$A$1:$I$89,5,0)</f>
        <v>41.901474986173753</v>
      </c>
      <c r="BF16" s="14">
        <f t="shared" si="37"/>
        <v>12.501262773491545</v>
      </c>
      <c r="BG16" s="22">
        <f t="shared" si="7"/>
        <v>94.751434931417066</v>
      </c>
      <c r="BH16" s="62">
        <f t="shared" si="8"/>
        <v>367.30699048697261</v>
      </c>
      <c r="BI16" s="62">
        <f ca="1">AVERAGE(OFFSET($BH$3,0,0,'Données projet'!$E$11+1,1))-AVERAGE(OFFSET($H$3,0,0,'Données projet'!$E$11+1,1))</f>
        <v>321.23599968992932</v>
      </c>
      <c r="BJ16" s="62">
        <f t="shared" si="38"/>
        <v>388.05195847800502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4.3703703703703702</v>
      </c>
      <c r="N17" s="14">
        <f>IF('Données projet'!$A$36&gt;35,N16+M17-V16,IF(A17&lt;'Données projet'!$A$36,$K$205^A17,IF(A17='Données projet'!$A$36,'Données projet'!$B$36,N16+M17-V16)))</f>
        <v>11.866132377366407</v>
      </c>
      <c r="O17" s="14">
        <f>N17*VLOOKUP('Données projet'!$B$9,Paramètres!$A$1:$I$89,3,0)*VLOOKUP('Données projet'!$B$9,Paramètres!$A$1:$I$89,5,0)</f>
        <v>7.0959471616651122</v>
      </c>
      <c r="P17" s="14">
        <f t="shared" si="33"/>
        <v>2.6031837849951125</v>
      </c>
      <c r="Q17" s="22">
        <f t="shared" si="2"/>
        <v>16.892653065433223</v>
      </c>
      <c r="R17" s="62">
        <f t="shared" si="0"/>
        <v>290.67043084321097</v>
      </c>
      <c r="S17" s="62">
        <f ca="1">AVERAGE(OFFSET($R$3,0,0,'Données projet'!$E$9+1,1))-AVERAGE(OFFSET($H$3,0,0,'Données projet'!$E$9+1,1))</f>
        <v>295.83974441964551</v>
      </c>
      <c r="T17" s="62">
        <f t="shared" si="34"/>
        <v>212.24900914818096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8.4</v>
      </c>
      <c r="AI17" s="14">
        <f>IF('Données projet'!$A$62&gt;35,AI16+AH17-AQ16,IF(A17&lt;'Données projet'!$A$62,$AF$205^A17,IF(A17='Données projet'!$A$62,'Données projet'!$B$62,AI16+AH17-AQ16)))</f>
        <v>91.273739100537057</v>
      </c>
      <c r="AJ17" s="14">
        <f>AI17*VLOOKUP('Données projet'!$B$10,Paramètres!$A$1:$I$89,3,0)*VLOOKUP('Données projet'!$B$10,Paramètres!$A$1:$I$89,5,0)</f>
        <v>51.02202015720021</v>
      </c>
      <c r="AK17" s="14">
        <f t="shared" si="35"/>
        <v>14.877389196033896</v>
      </c>
      <c r="AL17" s="22">
        <f t="shared" si="4"/>
        <v>114.7748046235494</v>
      </c>
      <c r="AM17" s="62">
        <f t="shared" si="5"/>
        <v>388.55258240132719</v>
      </c>
      <c r="AN17" s="62">
        <f ca="1">AVERAGE(OFFSET($AM$3,0,0,'Données projet'!$E$10+1,1))-AVERAGE(OFFSET($H$3,0,0,'Données projet'!$E$10+1,1))</f>
        <v>512.21337090113502</v>
      </c>
      <c r="AO17" s="62">
        <f t="shared" si="36"/>
        <v>621.03633124474163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5.8</v>
      </c>
      <c r="BD17" s="13">
        <f>IF('Données projet'!$A$88&gt;35,BD16+BC17-BL16,IF(A17&lt;'Données projet'!$A$88,$BA$205^A17,IF(A17='Données projet'!$A$88,'Données projet'!$B$88,BD16+BC17-BL16)))</f>
        <v>64.597835933388069</v>
      </c>
      <c r="BE17" s="14">
        <f>BD17*VLOOKUP('Données projet'!$B$11,Paramètres!$A$1:$I$89,3,0)*VLOOKUP('Données projet'!$B$11,Paramètres!$A$1:$I$89,5,0)</f>
        <v>56.432669471407827</v>
      </c>
      <c r="BF17" s="14">
        <f t="shared" si="37"/>
        <v>16.263143652501352</v>
      </c>
      <c r="BG17" s="22">
        <f t="shared" si="7"/>
        <v>126.61187452414181</v>
      </c>
      <c r="BH17" s="62">
        <f t="shared" si="8"/>
        <v>400.38965230191957</v>
      </c>
      <c r="BI17" s="62">
        <f ca="1">AVERAGE(OFFSET($BH$3,0,0,'Données projet'!$E$11+1,1))-AVERAGE(OFFSET($H$3,0,0,'Données projet'!$E$11+1,1))</f>
        <v>321.23599968992932</v>
      </c>
      <c r="BJ17" s="62">
        <f t="shared" si="38"/>
        <v>388.05195847800502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4.3703703703703702</v>
      </c>
      <c r="N18" s="14">
        <f>IF('Données projet'!$A$36&gt;35,N17+M18-V17,IF(A18&lt;'Données projet'!$A$36,$K$205^A18,IF(A18='Données projet'!$A$36,'Données projet'!$B$36,N17+M18-V17)))</f>
        <v>14.159423114374338</v>
      </c>
      <c r="O18" s="14">
        <f>N18*VLOOKUP('Données projet'!$B$9,Paramètres!$A$1:$I$89,3,0)*VLOOKUP('Données projet'!$B$9,Paramètres!$A$1:$I$89,5,0)</f>
        <v>8.4673350223958543</v>
      </c>
      <c r="P18" s="14">
        <f t="shared" si="33"/>
        <v>3.0430499948027987</v>
      </c>
      <c r="Q18" s="22">
        <f t="shared" si="2"/>
        <v>20.047253904954317</v>
      </c>
      <c r="R18" s="62">
        <f t="shared" si="0"/>
        <v>295.04725390495435</v>
      </c>
      <c r="S18" s="62">
        <f ca="1">AVERAGE(OFFSET($R$3,0,0,'Données projet'!$E$9+1,1))-AVERAGE(OFFSET($H$3,0,0,'Données projet'!$E$9+1,1))</f>
        <v>295.83974441964551</v>
      </c>
      <c r="T18" s="62">
        <f t="shared" si="34"/>
        <v>212.24900914818096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126</v>
      </c>
      <c r="AG18" s="13">
        <f>VLOOKUP(A18,'Données projet'!$A$61:$I$81,9,0)</f>
        <v>8.4</v>
      </c>
      <c r="AH18" s="13">
        <f t="array" ref="AH18">INDEX(AG:AG,MIN(IF(ISNUMBER(AG18:AG214),ROW(AG18:AG214),"")))</f>
        <v>8.4</v>
      </c>
      <c r="AI18" s="14">
        <f>IF('Données projet'!$A$62&gt;35,AI17+AH18-AQ17,IF(A18&lt;'Données projet'!$A$62,$AF$205^A18,IF(A18='Données projet'!$A$62,'Données projet'!$B$62,AI17+AH18-AQ17)))</f>
        <v>126</v>
      </c>
      <c r="AJ18" s="14">
        <f>AI18*VLOOKUP('Données projet'!$B$10,Paramètres!$A$1:$I$89,3,0)*VLOOKUP('Données projet'!$B$10,Paramètres!$A$1:$I$89,5,0)</f>
        <v>70.433999999999997</v>
      </c>
      <c r="AK18" s="14">
        <f t="shared" si="35"/>
        <v>19.78119626646561</v>
      </c>
      <c r="AL18" s="22">
        <f t="shared" si="4"/>
        <v>157.12480016409424</v>
      </c>
      <c r="AM18" s="62">
        <f t="shared" si="5"/>
        <v>432.12480016409427</v>
      </c>
      <c r="AN18" s="62">
        <f ca="1">AVERAGE(OFFSET($AM$3,0,0,'Données projet'!$E$10+1,1))-AVERAGE(OFFSET($H$3,0,0,'Données projet'!$E$10+1,1))</f>
        <v>512.21337090113502</v>
      </c>
      <c r="AO18" s="62">
        <f t="shared" si="36"/>
        <v>621.03633124474163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87</v>
      </c>
      <c r="BB18" s="13">
        <f>VLOOKUP(A18,'Données projet'!$A$87:$I$107,9,0)</f>
        <v>5.8</v>
      </c>
      <c r="BC18" s="13">
        <f t="array" ref="BC18">INDEX(BB:BB,MIN(IF(ISNUMBER(BB18:BB214),ROW(BB18:BB214),"")))</f>
        <v>5.8</v>
      </c>
      <c r="BD18" s="13">
        <f>IF('Données projet'!$A$88&gt;35,BD17+BC18-BL17,IF(A18&lt;'Données projet'!$A$88,$BA$205^A18,IF(A18='Données projet'!$A$88,'Données projet'!$B$88,BD17+BC18-BL17)))</f>
        <v>87</v>
      </c>
      <c r="BE18" s="14">
        <f>BD18*VLOOKUP('Données projet'!$B$11,Paramètres!$A$1:$I$89,3,0)*VLOOKUP('Données projet'!$B$11,Paramètres!$A$1:$I$89,5,0)</f>
        <v>76.003200000000007</v>
      </c>
      <c r="BF18" s="14">
        <f t="shared" si="37"/>
        <v>21.157049992000456</v>
      </c>
      <c r="BG18" s="22">
        <f t="shared" si="7"/>
        <v>169.22076873606747</v>
      </c>
      <c r="BH18" s="62">
        <f t="shared" si="8"/>
        <v>444.2207687360675</v>
      </c>
      <c r="BI18" s="62">
        <f ca="1">AVERAGE(OFFSET($BH$3,0,0,'Données projet'!$E$11+1,1))-AVERAGE(OFFSET($H$3,0,0,'Données projet'!$E$11+1,1))</f>
        <v>321.23599968992932</v>
      </c>
      <c r="BJ18" s="62">
        <f t="shared" si="38"/>
        <v>388.05195847800502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21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4.3703703703703702</v>
      </c>
      <c r="N19" s="14">
        <f>IF('Données projet'!$A$36&gt;35,N18+M19-V18,IF(A19&lt;'Données projet'!$A$36,$K$205^A19,IF(A19='Données projet'!$A$36,'Données projet'!$B$36,N18+M19-V18)))</f>
        <v>16.895923335078734</v>
      </c>
      <c r="O19" s="14">
        <f>N19*VLOOKUP('Données projet'!$B$9,Paramètres!$A$1:$I$89,3,0)*VLOOKUP('Données projet'!$B$9,Paramètres!$A$1:$I$89,5,0)</f>
        <v>10.103762154377083</v>
      </c>
      <c r="P19" s="14">
        <f t="shared" si="33"/>
        <v>3.5572414534253478</v>
      </c>
      <c r="Q19" s="22">
        <f t="shared" si="2"/>
        <v>23.79291461692257</v>
      </c>
      <c r="R19" s="62">
        <f t="shared" si="0"/>
        <v>300.01513683914482</v>
      </c>
      <c r="S19" s="62">
        <f ca="1">AVERAGE(OFFSET($R$3,0,0,'Données projet'!$E$9+1,1))-AVERAGE(OFFSET($H$3,0,0,'Données projet'!$E$9+1,1))</f>
        <v>295.83974441964551</v>
      </c>
      <c r="T19" s="62">
        <f t="shared" si="34"/>
        <v>212.24900914818096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22.4</v>
      </c>
      <c r="AI19" s="14">
        <f>IF('Données projet'!$A$62&gt;35,AI18+AH19-AQ18,IF(A19&lt;'Données projet'!$A$62,$AF$205^A19,IF(A19='Données projet'!$A$62,'Données projet'!$B$62,AI18+AH19-AQ18)))</f>
        <v>148.4</v>
      </c>
      <c r="AJ19" s="14">
        <f>AI19*VLOOKUP('Données projet'!$B$10,Paramètres!$A$1:$I$89,3,0)*VLOOKUP('Données projet'!$B$10,Paramètres!$A$1:$I$89,5,0)</f>
        <v>82.955600000000004</v>
      </c>
      <c r="AK19" s="14">
        <f t="shared" si="35"/>
        <v>22.858310787063903</v>
      </c>
      <c r="AL19" s="22">
        <f t="shared" si="4"/>
        <v>184.29256128746965</v>
      </c>
      <c r="AM19" s="62">
        <f t="shared" si="5"/>
        <v>460.51478350969188</v>
      </c>
      <c r="AN19" s="62">
        <f ca="1">AVERAGE(OFFSET($AM$3,0,0,'Données projet'!$E$10+1,1))-AVERAGE(OFFSET($H$3,0,0,'Données projet'!$E$10+1,1))</f>
        <v>512.21337090113502</v>
      </c>
      <c r="AO19" s="62">
        <f t="shared" si="36"/>
        <v>621.03633124474163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14.2</v>
      </c>
      <c r="BD19" s="13">
        <f>IF('Données projet'!$A$88&gt;35,BD18+BC19-BL18,IF(A19&lt;'Données projet'!$A$88,$BA$205^A19,IF(A19='Données projet'!$A$88,'Données projet'!$B$88,BD18+BC19-BL18)))</f>
        <v>80.2</v>
      </c>
      <c r="BE19" s="14">
        <f>BD19*VLOOKUP('Données projet'!$B$11,Paramètres!$A$1:$I$89,3,0)*VLOOKUP('Données projet'!$B$11,Paramètres!$A$1:$I$89,5,0)</f>
        <v>70.062720000000013</v>
      </c>
      <c r="BF19" s="14">
        <f t="shared" si="37"/>
        <v>19.689032345957123</v>
      </c>
      <c r="BG19" s="22">
        <f t="shared" si="7"/>
        <v>156.31763533587534</v>
      </c>
      <c r="BH19" s="62">
        <f t="shared" si="8"/>
        <v>432.53985755809754</v>
      </c>
      <c r="BI19" s="62">
        <f ca="1">AVERAGE(OFFSET($BH$3,0,0,'Données projet'!$E$11+1,1))-AVERAGE(OFFSET($H$3,0,0,'Données projet'!$E$11+1,1))</f>
        <v>321.23599968992932</v>
      </c>
      <c r="BJ19" s="62">
        <f t="shared" si="38"/>
        <v>388.05195847800502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4.3703703703703702</v>
      </c>
      <c r="N20" s="14">
        <f>IF('Données projet'!$A$36&gt;35,N19+M20-V19,IF(A20&lt;'Données projet'!$A$36,$K$205^A20,IF(A20='Données projet'!$A$36,'Données projet'!$B$36,N19+M20-V19)))</f>
        <v>20.161289272799031</v>
      </c>
      <c r="O20" s="14">
        <f>N20*VLOOKUP('Données projet'!$B$9,Paramètres!$A$1:$I$89,3,0)*VLOOKUP('Données projet'!$B$9,Paramètres!$A$1:$I$89,5,0)</f>
        <v>12.056450985133822</v>
      </c>
      <c r="P20" s="14">
        <f t="shared" si="33"/>
        <v>4.1583170764789594</v>
      </c>
      <c r="Q20" s="22">
        <f t="shared" si="2"/>
        <v>28.240721040642256</v>
      </c>
      <c r="R20" s="62">
        <f t="shared" si="0"/>
        <v>305.68516548508671</v>
      </c>
      <c r="S20" s="62">
        <f ca="1">AVERAGE(OFFSET($R$3,0,0,'Données projet'!$E$9+1,1))-AVERAGE(OFFSET($H$3,0,0,'Données projet'!$E$9+1,1))</f>
        <v>295.83974441964551</v>
      </c>
      <c r="T20" s="62">
        <f t="shared" si="34"/>
        <v>212.24900914818096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22.4</v>
      </c>
      <c r="AI20" s="14">
        <f>IF('Données projet'!$A$62&gt;35,AI19+AH20-AQ19,IF(A20&lt;'Données projet'!$A$62,$AF$205^A20,IF(A20='Données projet'!$A$62,'Données projet'!$B$62,AI19+AH20-AQ19)))</f>
        <v>170.8</v>
      </c>
      <c r="AJ20" s="14">
        <f>AI20*VLOOKUP('Données projet'!$B$10,Paramètres!$A$1:$I$89,3,0)*VLOOKUP('Données projet'!$B$10,Paramètres!$A$1:$I$89,5,0)</f>
        <v>95.477200000000011</v>
      </c>
      <c r="AK20" s="14">
        <f t="shared" si="35"/>
        <v>25.881617647431607</v>
      </c>
      <c r="AL20" s="22">
        <f t="shared" si="4"/>
        <v>211.36660740261004</v>
      </c>
      <c r="AM20" s="62">
        <f t="shared" si="5"/>
        <v>488.8110518470545</v>
      </c>
      <c r="AN20" s="62">
        <f ca="1">AVERAGE(OFFSET($AM$3,0,0,'Données projet'!$E$10+1,1))-AVERAGE(OFFSET($H$3,0,0,'Données projet'!$E$10+1,1))</f>
        <v>512.21337090113502</v>
      </c>
      <c r="AO20" s="62">
        <f t="shared" si="36"/>
        <v>621.03633124474163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14.2</v>
      </c>
      <c r="BD20" s="13">
        <f>IF('Données projet'!$A$88&gt;35,BD19+BC20-BL19,IF(A20&lt;'Données projet'!$A$88,$BA$205^A20,IF(A20='Données projet'!$A$88,'Données projet'!$B$88,BD19+BC20-BL19)))</f>
        <v>94.4</v>
      </c>
      <c r="BE20" s="14">
        <f>BD20*VLOOKUP('Données projet'!$B$11,Paramètres!$A$1:$I$89,3,0)*VLOOKUP('Données projet'!$B$11,Paramètres!$A$1:$I$89,5,0)</f>
        <v>82.467840000000024</v>
      </c>
      <c r="BF20" s="14">
        <f t="shared" si="37"/>
        <v>22.739512759227473</v>
      </c>
      <c r="BG20" s="22">
        <f t="shared" si="7"/>
        <v>183.23613938898788</v>
      </c>
      <c r="BH20" s="62">
        <f t="shared" si="8"/>
        <v>460.68058383343237</v>
      </c>
      <c r="BI20" s="62">
        <f ca="1">AVERAGE(OFFSET($BH$3,0,0,'Données projet'!$E$11+1,1))-AVERAGE(OFFSET($H$3,0,0,'Données projet'!$E$11+1,1))</f>
        <v>321.23599968992932</v>
      </c>
      <c r="BJ20" s="62">
        <f t="shared" si="38"/>
        <v>388.05195847800502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4.3703703703703702</v>
      </c>
      <c r="N21" s="14">
        <f>IF('Données projet'!$A$36&gt;35,N20+M21-V20,IF(A21&lt;'Données projet'!$A$36,$K$205^A21,IF(A21='Données projet'!$A$36,'Données projet'!$B$36,N20+M21-V20)))</f>
        <v>24.057731387639919</v>
      </c>
      <c r="O21" s="14">
        <f>N21*VLOOKUP('Données projet'!$B$9,Paramètres!$A$1:$I$89,3,0)*VLOOKUP('Données projet'!$B$9,Paramètres!$A$1:$I$89,5,0)</f>
        <v>14.386523369808673</v>
      </c>
      <c r="P21" s="14">
        <f t="shared" si="33"/>
        <v>4.8609578896833261</v>
      </c>
      <c r="Q21" s="22">
        <f t="shared" si="2"/>
        <v>33.522696526948565</v>
      </c>
      <c r="R21" s="62">
        <f t="shared" si="0"/>
        <v>312.18936319361524</v>
      </c>
      <c r="S21" s="62">
        <f ca="1">AVERAGE(OFFSET($R$3,0,0,'Données projet'!$E$9+1,1))-AVERAGE(OFFSET($H$3,0,0,'Données projet'!$E$9+1,1))</f>
        <v>295.83974441964551</v>
      </c>
      <c r="T21" s="62">
        <f t="shared" si="34"/>
        <v>212.24900914818096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22.4</v>
      </c>
      <c r="AI21" s="14">
        <f>IF('Données projet'!$A$62&gt;35,AI20+AH21-AQ20,IF(A21&lt;'Données projet'!$A$62,$AF$205^A21,IF(A21='Données projet'!$A$62,'Données projet'!$B$62,AI20+AH21-AQ20)))</f>
        <v>193.20000000000002</v>
      </c>
      <c r="AJ21" s="14">
        <f>AI21*VLOOKUP('Données projet'!$B$10,Paramètres!$A$1:$I$89,3,0)*VLOOKUP('Données projet'!$B$10,Paramètres!$A$1:$I$89,5,0)</f>
        <v>107.99880000000002</v>
      </c>
      <c r="AK21" s="14">
        <f t="shared" si="35"/>
        <v>28.858983600701585</v>
      </c>
      <c r="AL21" s="22">
        <f t="shared" si="4"/>
        <v>238.36063977122194</v>
      </c>
      <c r="AM21" s="62">
        <f t="shared" si="5"/>
        <v>517.02730643788868</v>
      </c>
      <c r="AN21" s="62">
        <f ca="1">AVERAGE(OFFSET($AM$3,0,0,'Données projet'!$E$10+1,1))-AVERAGE(OFFSET($H$3,0,0,'Données projet'!$E$10+1,1))</f>
        <v>512.21337090113502</v>
      </c>
      <c r="AO21" s="62">
        <f t="shared" si="36"/>
        <v>621.03633124474163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14.2</v>
      </c>
      <c r="BD21" s="13">
        <f>IF('Données projet'!$A$88&gt;35,BD20+BC21-BL20,IF(A21&lt;'Données projet'!$A$88,$BA$205^A21,IF(A21='Données projet'!$A$88,'Données projet'!$B$88,BD20+BC21-BL20)))</f>
        <v>108.60000000000001</v>
      </c>
      <c r="BE21" s="14">
        <f>BD21*VLOOKUP('Données projet'!$B$11,Paramètres!$A$1:$I$89,3,0)*VLOOKUP('Données projet'!$B$11,Paramètres!$A$1:$I$89,5,0)</f>
        <v>94.87296000000002</v>
      </c>
      <c r="BF21" s="14">
        <f t="shared" si="37"/>
        <v>25.736834760472274</v>
      </c>
      <c r="BG21" s="22">
        <f t="shared" si="7"/>
        <v>210.06205920782259</v>
      </c>
      <c r="BH21" s="62">
        <f t="shared" si="8"/>
        <v>488.72872587448927</v>
      </c>
      <c r="BI21" s="62">
        <f ca="1">AVERAGE(OFFSET($BH$3,0,0,'Données projet'!$E$11+1,1))-AVERAGE(OFFSET($H$3,0,0,'Données projet'!$E$11+1,1))</f>
        <v>321.23599968992932</v>
      </c>
      <c r="BJ21" s="62">
        <f t="shared" si="38"/>
        <v>388.05195847800502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4.3703703703703702</v>
      </c>
      <c r="N22" s="14">
        <f>IF('Données projet'!$A$36&gt;35,N21+M22-V21,IF(A22&lt;'Données projet'!$A$36,$K$205^A22,IF(A22='Données projet'!$A$36,'Données projet'!$B$36,N21+M22-V21)))</f>
        <v>28.707213694944539</v>
      </c>
      <c r="O22" s="14">
        <f>N22*VLOOKUP('Données projet'!$B$9,Paramètres!$A$1:$I$89,3,0)*VLOOKUP('Données projet'!$B$9,Paramètres!$A$1:$I$89,5,0)</f>
        <v>17.166913789576835</v>
      </c>
      <c r="P22" s="14">
        <f t="shared" si="33"/>
        <v>5.6823256068972627</v>
      </c>
      <c r="Q22" s="22">
        <f t="shared" si="2"/>
        <v>39.79575861552572</v>
      </c>
      <c r="R22" s="62">
        <f t="shared" si="0"/>
        <v>319.68464750441456</v>
      </c>
      <c r="S22" s="62">
        <f ca="1">AVERAGE(OFFSET($R$3,0,0,'Données projet'!$E$9+1,1))-AVERAGE(OFFSET($H$3,0,0,'Données projet'!$E$9+1,1))</f>
        <v>295.83974441964551</v>
      </c>
      <c r="T22" s="62">
        <f t="shared" si="34"/>
        <v>212.24900914818096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22.4</v>
      </c>
      <c r="AI22" s="14">
        <f>IF('Données projet'!$A$62&gt;35,AI21+AH22-AQ21,IF(A22&lt;'Données projet'!$A$62,$AF$205^A22,IF(A22='Données projet'!$A$62,'Données projet'!$B$62,AI21+AH22-AQ21)))</f>
        <v>215.60000000000002</v>
      </c>
      <c r="AJ22" s="14">
        <f>AI22*VLOOKUP('Données projet'!$B$10,Paramètres!$A$1:$I$89,3,0)*VLOOKUP('Données projet'!$B$10,Paramètres!$A$1:$I$89,5,0)</f>
        <v>120.52040000000002</v>
      </c>
      <c r="AK22" s="14">
        <f t="shared" si="35"/>
        <v>31.796343463250214</v>
      </c>
      <c r="AL22" s="22">
        <f t="shared" si="4"/>
        <v>265.2849948651608</v>
      </c>
      <c r="AM22" s="62">
        <f t="shared" si="5"/>
        <v>545.17388375404971</v>
      </c>
      <c r="AN22" s="62">
        <f ca="1">AVERAGE(OFFSET($AM$3,0,0,'Données projet'!$E$10+1,1))-AVERAGE(OFFSET($H$3,0,0,'Données projet'!$E$10+1,1))</f>
        <v>512.21337090113502</v>
      </c>
      <c r="AO22" s="62">
        <f t="shared" si="36"/>
        <v>621.03633124474163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14.2</v>
      </c>
      <c r="BD22" s="13">
        <f>IF('Données projet'!$A$88&gt;35,BD21+BC22-BL21,IF(A22&lt;'Données projet'!$A$88,$BA$205^A22,IF(A22='Données projet'!$A$88,'Données projet'!$B$88,BD21+BC22-BL21)))</f>
        <v>122.80000000000001</v>
      </c>
      <c r="BE22" s="14">
        <f>BD22*VLOOKUP('Données projet'!$B$11,Paramètres!$A$1:$I$89,3,0)*VLOOKUP('Données projet'!$B$11,Paramètres!$A$1:$I$89,5,0)</f>
        <v>107.27808000000003</v>
      </c>
      <c r="BF22" s="14">
        <f t="shared" si="37"/>
        <v>28.688746800886673</v>
      </c>
      <c r="BG22" s="22">
        <f t="shared" si="7"/>
        <v>236.80889001154432</v>
      </c>
      <c r="BH22" s="62">
        <f t="shared" si="8"/>
        <v>516.69777890043315</v>
      </c>
      <c r="BI22" s="62">
        <f ca="1">AVERAGE(OFFSET($BH$3,0,0,'Données projet'!$E$11+1,1))-AVERAGE(OFFSET($H$3,0,0,'Données projet'!$E$11+1,1))</f>
        <v>321.23599968992932</v>
      </c>
      <c r="BJ22" s="62">
        <f t="shared" si="38"/>
        <v>388.05195847800502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4.3703703703703702</v>
      </c>
      <c r="N23" s="14">
        <f>IF('Données projet'!$A$36&gt;35,N22+M23-V22,IF(A23&lt;'Données projet'!$A$36,$K$205^A23,IF(A23='Données projet'!$A$36,'Données projet'!$B$36,N22+M23-V22)))</f>
        <v>34.255271407286948</v>
      </c>
      <c r="O23" s="14">
        <f>N23*VLOOKUP('Données projet'!$B$9,Paramètres!$A$1:$I$89,3,0)*VLOOKUP('Données projet'!$B$9,Paramètres!$A$1:$I$89,5,0)</f>
        <v>20.484652301557595</v>
      </c>
      <c r="P23" s="14">
        <f t="shared" si="33"/>
        <v>6.6424817979453561</v>
      </c>
      <c r="Q23" s="22">
        <f t="shared" si="2"/>
        <v>47.246425223300974</v>
      </c>
      <c r="R23" s="62">
        <f t="shared" si="0"/>
        <v>328.35753633441209</v>
      </c>
      <c r="S23" s="62">
        <f ca="1">AVERAGE(OFFSET($R$3,0,0,'Données projet'!$E$9+1,1))-AVERAGE(OFFSET($H$3,0,0,'Données projet'!$E$9+1,1))</f>
        <v>295.83974441964551</v>
      </c>
      <c r="T23" s="62">
        <f t="shared" si="34"/>
        <v>212.24900914818096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238</v>
      </c>
      <c r="AG23" s="13">
        <f>VLOOKUP(A23,'Données projet'!$A$61:$I$81,9,0)</f>
        <v>22.4</v>
      </c>
      <c r="AH23" s="13">
        <f t="array" ref="AH23">INDEX(AG:AG,MIN(IF(ISNUMBER(AG23:AG219),ROW(AG23:AG219),"")))</f>
        <v>22.4</v>
      </c>
      <c r="AI23" s="14">
        <f>IF('Données projet'!$A$62&gt;35,AI22+AH23-AQ22,IF(A23&lt;'Données projet'!$A$62,$AF$205^A23,IF(A23='Données projet'!$A$62,'Données projet'!$B$62,AI22+AH23-AQ22)))</f>
        <v>238.00000000000003</v>
      </c>
      <c r="AJ23" s="14">
        <f>AI23*VLOOKUP('Données projet'!$B$10,Paramètres!$A$1:$I$89,3,0)*VLOOKUP('Données projet'!$B$10,Paramètres!$A$1:$I$89,5,0)</f>
        <v>133.04200000000003</v>
      </c>
      <c r="AK23" s="14">
        <f t="shared" si="35"/>
        <v>34.69832716285007</v>
      </c>
      <c r="AL23" s="22">
        <f t="shared" si="4"/>
        <v>292.14773647529722</v>
      </c>
      <c r="AM23" s="62">
        <f t="shared" si="5"/>
        <v>573.25884758640836</v>
      </c>
      <c r="AN23" s="62">
        <f ca="1">AVERAGE(OFFSET($AM$3,0,0,'Données projet'!$E$10+1,1))-AVERAGE(OFFSET($H$3,0,0,'Données projet'!$E$10+1,1))</f>
        <v>512.21337090113502</v>
      </c>
      <c r="AO23" s="62">
        <f t="shared" si="36"/>
        <v>621.03633124474163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0.5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137</v>
      </c>
      <c r="BB23" s="13">
        <f>VLOOKUP(A23,'Données projet'!$A$87:$I$107,9,0)</f>
        <v>14.2</v>
      </c>
      <c r="BC23" s="13">
        <f t="array" ref="BC23">INDEX(BB:BB,MIN(IF(ISNUMBER(BB23:BB219),ROW(BB23:BB219),"")))</f>
        <v>14.2</v>
      </c>
      <c r="BD23" s="13">
        <f>IF('Données projet'!$A$88&gt;35,BD22+BC23-BL22,IF(A23&lt;'Données projet'!$A$88,$BA$205^A23,IF(A23='Données projet'!$A$88,'Données projet'!$B$88,BD22+BC23-BL22)))</f>
        <v>137</v>
      </c>
      <c r="BE23" s="14">
        <f>BD23*VLOOKUP('Données projet'!$B$11,Paramètres!$A$1:$I$89,3,0)*VLOOKUP('Données projet'!$B$11,Paramètres!$A$1:$I$89,5,0)</f>
        <v>119.68320000000003</v>
      </c>
      <c r="BF23" s="14">
        <f t="shared" si="37"/>
        <v>31.601099532596194</v>
      </c>
      <c r="BG23" s="22">
        <f t="shared" si="7"/>
        <v>263.48682168593842</v>
      </c>
      <c r="BH23" s="62">
        <f t="shared" si="8"/>
        <v>544.59793279704957</v>
      </c>
      <c r="BI23" s="62">
        <f ca="1">AVERAGE(OFFSET($BH$3,0,0,'Données projet'!$E$11+1,1))-AVERAGE(OFFSET($H$3,0,0,'Données projet'!$E$11+1,1))</f>
        <v>321.23599968992932</v>
      </c>
      <c r="BJ23" s="62">
        <f t="shared" si="38"/>
        <v>388.05195847800502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43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4.3703703703703702</v>
      </c>
      <c r="N24" s="14">
        <f>IF('Données projet'!$A$36&gt;35,N23+M24-V23,IF(A24&lt;'Données projet'!$A$36,$K$205^A24,IF(A24='Données projet'!$A$36,'Données projet'!$B$36,N23+M24-V23)))</f>
        <v>40.875566387466414</v>
      </c>
      <c r="O24" s="14">
        <f>N24*VLOOKUP('Données projet'!$B$9,Paramètres!$A$1:$I$89,3,0)*VLOOKUP('Données projet'!$B$9,Paramètres!$A$1:$I$89,5,0)</f>
        <v>24.443588699704918</v>
      </c>
      <c r="P24" s="14">
        <f t="shared" si="33"/>
        <v>7.7648778842379169</v>
      </c>
      <c r="Q24" s="22">
        <f t="shared" si="2"/>
        <v>56.096412633700432</v>
      </c>
      <c r="R24" s="62">
        <f t="shared" si="0"/>
        <v>338.42974596703374</v>
      </c>
      <c r="S24" s="62">
        <f ca="1">AVERAGE(OFFSET($R$3,0,0,'Données projet'!$E$9+1,1))-AVERAGE(OFFSET($H$3,0,0,'Données projet'!$E$9+1,1))</f>
        <v>295.83974441964551</v>
      </c>
      <c r="T24" s="62">
        <f t="shared" si="34"/>
        <v>212.24900914818096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26.8</v>
      </c>
      <c r="AI24" s="14">
        <f>IF('Données projet'!$A$62&gt;35,AI23+AH24-AQ23,IF(A24&lt;'Données projet'!$A$62,$AF$205^A24,IF(A24='Données projet'!$A$62,'Données projet'!$B$62,AI23+AH24-AQ23)))</f>
        <v>264.8</v>
      </c>
      <c r="AJ24" s="14">
        <f>AI24*VLOOKUP('Données projet'!$B$10,Paramètres!$A$1:$I$89,3,0)*VLOOKUP('Données projet'!$B$10,Paramètres!$A$1:$I$89,5,0)</f>
        <v>148.0232</v>
      </c>
      <c r="AK24" s="14">
        <f t="shared" si="35"/>
        <v>38.129004463240541</v>
      </c>
      <c r="AL24" s="22">
        <f t="shared" si="4"/>
        <v>324.21508944014391</v>
      </c>
      <c r="AM24" s="62">
        <f t="shared" si="5"/>
        <v>606.54842277347723</v>
      </c>
      <c r="AN24" s="62">
        <f ca="1">AVERAGE(OFFSET($AM$3,0,0,'Données projet'!$E$10+1,1))-AVERAGE(OFFSET($H$3,0,0,'Données projet'!$E$10+1,1))</f>
        <v>512.21337090113502</v>
      </c>
      <c r="AO24" s="62">
        <f t="shared" si="36"/>
        <v>621.03633124474163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13.8</v>
      </c>
      <c r="BD24" s="13">
        <f>IF('Données projet'!$A$88&gt;35,BD23+BC24-BL23,IF(A24&lt;'Données projet'!$A$88,$BA$205^A24,IF(A24='Données projet'!$A$88,'Données projet'!$B$88,BD23+BC24-BL23)))</f>
        <v>107.80000000000001</v>
      </c>
      <c r="BE24" s="14">
        <f>BD24*VLOOKUP('Données projet'!$B$11,Paramètres!$A$1:$I$89,3,0)*VLOOKUP('Données projet'!$B$11,Paramètres!$A$1:$I$89,5,0)</f>
        <v>94.174080000000018</v>
      </c>
      <c r="BF24" s="14">
        <f t="shared" si="37"/>
        <v>25.569241067746205</v>
      </c>
      <c r="BG24" s="22">
        <f t="shared" si="7"/>
        <v>208.55295085965801</v>
      </c>
      <c r="BH24" s="62">
        <f t="shared" si="8"/>
        <v>490.8862841929913</v>
      </c>
      <c r="BI24" s="62">
        <f ca="1">AVERAGE(OFFSET($BH$3,0,0,'Données projet'!$E$11+1,1))-AVERAGE(OFFSET($H$3,0,0,'Données projet'!$E$11+1,1))</f>
        <v>321.23599968992932</v>
      </c>
      <c r="BJ24" s="62">
        <f t="shared" si="38"/>
        <v>388.05195847800502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4.3703703703703702</v>
      </c>
      <c r="N25" s="14">
        <f>IF('Données projet'!$A$36&gt;35,N24+M25-V24,IF(A25&lt;'Données projet'!$A$36,$K$205^A25,IF(A25='Données projet'!$A$36,'Données projet'!$B$36,N24+M25-V24)))</f>
        <v>48.775323004469058</v>
      </c>
      <c r="O25" s="14">
        <f>N25*VLOOKUP('Données projet'!$B$9,Paramètres!$A$1:$I$89,3,0)*VLOOKUP('Données projet'!$B$9,Paramètres!$A$1:$I$89,5,0)</f>
        <v>29.167643156672497</v>
      </c>
      <c r="P25" s="14">
        <f t="shared" si="33"/>
        <v>9.0769279301265016</v>
      </c>
      <c r="Q25" s="22">
        <f t="shared" si="2"/>
        <v>66.60929464284159</v>
      </c>
      <c r="R25" s="62">
        <f t="shared" si="0"/>
        <v>350.16485019839712</v>
      </c>
      <c r="S25" s="62">
        <f ca="1">AVERAGE(OFFSET($R$3,0,0,'Données projet'!$E$9+1,1))-AVERAGE(OFFSET($H$3,0,0,'Données projet'!$E$9+1,1))</f>
        <v>295.83974441964551</v>
      </c>
      <c r="T25" s="62">
        <f t="shared" si="34"/>
        <v>212.24900914818096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26.8</v>
      </c>
      <c r="AI25" s="14">
        <f>IF('Données projet'!$A$62&gt;35,AI24+AH25-AQ24,IF(A25&lt;'Données projet'!$A$62,$AF$205^A25,IF(A25='Données projet'!$A$62,'Données projet'!$B$62,AI24+AH25-AQ24)))</f>
        <v>291.60000000000002</v>
      </c>
      <c r="AJ25" s="14">
        <f>AI25*VLOOKUP('Données projet'!$B$10,Paramètres!$A$1:$I$89,3,0)*VLOOKUP('Données projet'!$B$10,Paramètres!$A$1:$I$89,5,0)</f>
        <v>163.0044</v>
      </c>
      <c r="AK25" s="14">
        <f t="shared" si="35"/>
        <v>41.519430766049162</v>
      </c>
      <c r="AL25" s="22">
        <f t="shared" si="4"/>
        <v>356.21233858420231</v>
      </c>
      <c r="AM25" s="62">
        <f t="shared" si="5"/>
        <v>639.7678941397578</v>
      </c>
      <c r="AN25" s="62">
        <f ca="1">AVERAGE(OFFSET($AM$3,0,0,'Données projet'!$E$10+1,1))-AVERAGE(OFFSET($H$3,0,0,'Données projet'!$E$10+1,1))</f>
        <v>512.21337090113502</v>
      </c>
      <c r="AO25" s="62">
        <f t="shared" si="36"/>
        <v>621.03633124474163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13.8</v>
      </c>
      <c r="BD25" s="13">
        <f>IF('Données projet'!$A$88&gt;35,BD24+BC25-BL24,IF(A25&lt;'Données projet'!$A$88,$BA$205^A25,IF(A25='Données projet'!$A$88,'Données projet'!$B$88,BD24+BC25-BL24)))</f>
        <v>121.60000000000001</v>
      </c>
      <c r="BE25" s="14">
        <f>BD25*VLOOKUP('Données projet'!$B$11,Paramètres!$A$1:$I$89,3,0)*VLOOKUP('Données projet'!$B$11,Paramètres!$A$1:$I$89,5,0)</f>
        <v>106.22976000000003</v>
      </c>
      <c r="BF25" s="14">
        <f t="shared" si="37"/>
        <v>28.440891625171492</v>
      </c>
      <c r="BG25" s="22">
        <f t="shared" si="7"/>
        <v>234.55138491384039</v>
      </c>
      <c r="BH25" s="62">
        <f t="shared" si="8"/>
        <v>518.10694046939591</v>
      </c>
      <c r="BI25" s="62">
        <f ca="1">AVERAGE(OFFSET($BH$3,0,0,'Données projet'!$E$11+1,1))-AVERAGE(OFFSET($H$3,0,0,'Données projet'!$E$11+1,1))</f>
        <v>321.23599968992932</v>
      </c>
      <c r="BJ25" s="62">
        <f t="shared" si="38"/>
        <v>388.05195847800502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4.3703703703703702</v>
      </c>
      <c r="N26" s="14">
        <f>IF('Données projet'!$A$36&gt;35,N25+M26-V25,IF(A26&lt;'Données projet'!$A$36,$K$205^A26,IF(A26='Données projet'!$A$36,'Données projet'!$B$36,N25+M26-V25)))</f>
        <v>58.201814542189823</v>
      </c>
      <c r="O26" s="14">
        <f>N26*VLOOKUP('Données projet'!$B$9,Paramètres!$A$1:$I$89,3,0)*VLOOKUP('Données projet'!$B$9,Paramètres!$A$1:$I$89,5,0)</f>
        <v>34.804685096229512</v>
      </c>
      <c r="P26" s="14">
        <f t="shared" si="33"/>
        <v>10.610678220189007</v>
      </c>
      <c r="Q26" s="22">
        <f t="shared" si="2"/>
        <v>79.098424442762266</v>
      </c>
      <c r="R26" s="62">
        <f t="shared" si="0"/>
        <v>363.87620222054005</v>
      </c>
      <c r="S26" s="62">
        <f ca="1">AVERAGE(OFFSET($R$3,0,0,'Données projet'!$E$9+1,1))-AVERAGE(OFFSET($H$3,0,0,'Données projet'!$E$9+1,1))</f>
        <v>295.83974441964551</v>
      </c>
      <c r="T26" s="62">
        <f t="shared" si="34"/>
        <v>212.24900914818096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26.8</v>
      </c>
      <c r="AI26" s="14">
        <f>IF('Données projet'!$A$62&gt;35,AI25+AH26-AQ25,IF(A26&lt;'Données projet'!$A$62,$AF$205^A26,IF(A26='Données projet'!$A$62,'Données projet'!$B$62,AI25+AH26-AQ25)))</f>
        <v>318.40000000000003</v>
      </c>
      <c r="AJ26" s="14">
        <f>AI26*VLOOKUP('Données projet'!$B$10,Paramètres!$A$1:$I$89,3,0)*VLOOKUP('Données projet'!$B$10,Paramètres!$A$1:$I$89,5,0)</f>
        <v>177.98560000000001</v>
      </c>
      <c r="AK26" s="14">
        <f t="shared" si="35"/>
        <v>44.873726155533582</v>
      </c>
      <c r="AL26" s="22">
        <f t="shared" si="4"/>
        <v>388.14665972088761</v>
      </c>
      <c r="AM26" s="62">
        <f t="shared" si="5"/>
        <v>672.92443749866538</v>
      </c>
      <c r="AN26" s="62">
        <f ca="1">AVERAGE(OFFSET($AM$3,0,0,'Données projet'!$E$10+1,1))-AVERAGE(OFFSET($H$3,0,0,'Données projet'!$E$10+1,1))</f>
        <v>512.21337090113502</v>
      </c>
      <c r="AO26" s="62">
        <f t="shared" si="36"/>
        <v>621.03633124474163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13.8</v>
      </c>
      <c r="BD26" s="13">
        <f>IF('Données projet'!$A$88&gt;35,BD25+BC26-BL25,IF(A26&lt;'Données projet'!$A$88,$BA$205^A26,IF(A26='Données projet'!$A$88,'Données projet'!$B$88,BD25+BC26-BL25)))</f>
        <v>135.4</v>
      </c>
      <c r="BE26" s="14">
        <f>BD26*VLOOKUP('Données projet'!$B$11,Paramètres!$A$1:$I$89,3,0)*VLOOKUP('Données projet'!$B$11,Paramètres!$A$1:$I$89,5,0)</f>
        <v>118.28544000000002</v>
      </c>
      <c r="BF26" s="14">
        <f t="shared" si="37"/>
        <v>31.274772013169596</v>
      </c>
      <c r="BG26" s="22">
        <f t="shared" si="7"/>
        <v>260.48403592293715</v>
      </c>
      <c r="BH26" s="62">
        <f t="shared" si="8"/>
        <v>545.26181370071492</v>
      </c>
      <c r="BI26" s="62">
        <f ca="1">AVERAGE(OFFSET($BH$3,0,0,'Données projet'!$E$11+1,1))-AVERAGE(OFFSET($H$3,0,0,'Données projet'!$E$11+1,1))</f>
        <v>321.23599968992932</v>
      </c>
      <c r="BJ26" s="62">
        <f t="shared" si="38"/>
        <v>388.05195847800502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4.3703703703703702</v>
      </c>
      <c r="N27" s="14">
        <f>IF('Données projet'!$A$36&gt;35,N26+M27-V26,IF(A27&lt;'Données projet'!$A$36,$K$205^A27,IF(A27='Données projet'!$A$36,'Données projet'!$B$36,N26+M27-V26)))</f>
        <v>69.450103194459274</v>
      </c>
      <c r="O27" s="14">
        <f>N27*VLOOKUP('Données projet'!$B$9,Paramètres!$A$1:$I$89,3,0)*VLOOKUP('Données projet'!$B$9,Paramètres!$A$1:$I$89,5,0)</f>
        <v>41.531161710286646</v>
      </c>
      <c r="P27" s="14">
        <f t="shared" si="33"/>
        <v>12.40358997659513</v>
      </c>
      <c r="Q27" s="22">
        <f t="shared" si="2"/>
        <v>93.936359187985758</v>
      </c>
      <c r="R27" s="62">
        <f t="shared" si="0"/>
        <v>379.93635918798577</v>
      </c>
      <c r="S27" s="62">
        <f ca="1">AVERAGE(OFFSET($R$3,0,0,'Données projet'!$E$9+1,1))-AVERAGE(OFFSET($H$3,0,0,'Données projet'!$E$9+1,1))</f>
        <v>295.83974441964551</v>
      </c>
      <c r="T27" s="62">
        <f t="shared" si="34"/>
        <v>212.24900914818096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26.8</v>
      </c>
      <c r="AI27" s="14">
        <f>IF('Données projet'!$A$62&gt;35,AI26+AH27-AQ26,IF(A27&lt;'Données projet'!$A$62,$AF$205^A27,IF(A27='Données projet'!$A$62,'Données projet'!$B$62,AI26+AH27-AQ26)))</f>
        <v>345.20000000000005</v>
      </c>
      <c r="AJ27" s="14">
        <f>AI27*VLOOKUP('Données projet'!$B$10,Paramètres!$A$1:$I$89,3,0)*VLOOKUP('Données projet'!$B$10,Paramètres!$A$1:$I$89,5,0)</f>
        <v>192.96680000000001</v>
      </c>
      <c r="AK27" s="14">
        <f t="shared" si="35"/>
        <v>48.19527756026767</v>
      </c>
      <c r="AL27" s="22">
        <f t="shared" si="4"/>
        <v>420.02395175079954</v>
      </c>
      <c r="AM27" s="62">
        <f t="shared" si="5"/>
        <v>706.0239517507996</v>
      </c>
      <c r="AN27" s="62">
        <f ca="1">AVERAGE(OFFSET($AM$3,0,0,'Données projet'!$E$10+1,1))-AVERAGE(OFFSET($H$3,0,0,'Données projet'!$E$10+1,1))</f>
        <v>512.21337090113502</v>
      </c>
      <c r="AO27" s="62">
        <f t="shared" si="36"/>
        <v>621.03633124474163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13.8</v>
      </c>
      <c r="BD27" s="13">
        <f>IF('Données projet'!$A$88&gt;35,BD26+BC27-BL26,IF(A27&lt;'Données projet'!$A$88,$BA$205^A27,IF(A27='Données projet'!$A$88,'Données projet'!$B$88,BD26+BC27-BL26)))</f>
        <v>149.20000000000002</v>
      </c>
      <c r="BE27" s="14">
        <f>BD27*VLOOKUP('Données projet'!$B$11,Paramètres!$A$1:$I$89,3,0)*VLOOKUP('Données projet'!$B$11,Paramètres!$A$1:$I$89,5,0)</f>
        <v>130.34112000000005</v>
      </c>
      <c r="BF27" s="14">
        <f t="shared" si="37"/>
        <v>34.075170122989917</v>
      </c>
      <c r="BG27" s="22">
        <f t="shared" si="7"/>
        <v>286.35837196420749</v>
      </c>
      <c r="BH27" s="62">
        <f t="shared" si="8"/>
        <v>572.35837196420744</v>
      </c>
      <c r="BI27" s="62">
        <f ca="1">AVERAGE(OFFSET($BH$3,0,0,'Données projet'!$E$11+1,1))-AVERAGE(OFFSET($H$3,0,0,'Données projet'!$E$11+1,1))</f>
        <v>321.23599968992932</v>
      </c>
      <c r="BJ27" s="62">
        <f t="shared" si="38"/>
        <v>388.05195847800502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4.3703703703703702</v>
      </c>
      <c r="N28" s="14">
        <f>IF('Données projet'!$A$36&gt;35,N27+M28-V27,IF(A28&lt;'Données projet'!$A$36,$K$205^A28,IF(A28='Données projet'!$A$36,'Données projet'!$B$36,N27+M28-V27)))</f>
        <v>82.872275918900684</v>
      </c>
      <c r="O28" s="14">
        <f>N28*VLOOKUP('Données projet'!$B$9,Paramètres!$A$1:$I$89,3,0)*VLOOKUP('Données projet'!$B$9,Paramètres!$A$1:$I$89,5,0)</f>
        <v>49.557620999502618</v>
      </c>
      <c r="P28" s="14">
        <f t="shared" si="33"/>
        <v>14.49945433410293</v>
      </c>
      <c r="Q28" s="22">
        <f t="shared" si="2"/>
        <v>111.56607287269634</v>
      </c>
      <c r="R28" s="62">
        <f t="shared" si="0"/>
        <v>398.78829509491857</v>
      </c>
      <c r="S28" s="62">
        <f ca="1">AVERAGE(OFFSET($R$3,0,0,'Données projet'!$E$9+1,1))-AVERAGE(OFFSET($H$3,0,0,'Données projet'!$E$9+1,1))</f>
        <v>295.83974441964551</v>
      </c>
      <c r="T28" s="62">
        <f t="shared" si="34"/>
        <v>212.24900914818096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372</v>
      </c>
      <c r="AG28" s="13">
        <f>VLOOKUP(A28,'Données projet'!$A$61:$I$81,9,0)</f>
        <v>26.8</v>
      </c>
      <c r="AH28" s="13">
        <f t="array" ref="AH28">INDEX(AG:AG,MIN(IF(ISNUMBER(AG28:AG224),ROW(AG28:AG224),"")))</f>
        <v>26.8</v>
      </c>
      <c r="AI28" s="14">
        <f>IF('Données projet'!$A$62&gt;35,AI27+AH28-AQ27,IF(A28&lt;'Données projet'!$A$62,$AF$205^A28,IF(A28='Données projet'!$A$62,'Données projet'!$B$62,AI27+AH28-AQ27)))</f>
        <v>372.00000000000006</v>
      </c>
      <c r="AJ28" s="14">
        <f>AI28*VLOOKUP('Données projet'!$B$10,Paramètres!$A$1:$I$89,3,0)*VLOOKUP('Données projet'!$B$10,Paramètres!$A$1:$I$89,5,0)</f>
        <v>207.94800000000001</v>
      </c>
      <c r="AK28" s="14">
        <f t="shared" si="35"/>
        <v>51.486916127068838</v>
      </c>
      <c r="AL28" s="22">
        <f t="shared" si="4"/>
        <v>451.84914558797823</v>
      </c>
      <c r="AM28" s="62">
        <f t="shared" si="5"/>
        <v>739.0713678102004</v>
      </c>
      <c r="AN28" s="62">
        <f ca="1">AVERAGE(OFFSET($AM$3,0,0,'Données projet'!$E$10+1,1))-AVERAGE(OFFSET($H$3,0,0,'Données projet'!$E$10+1,1))</f>
        <v>512.21337090113502</v>
      </c>
      <c r="AO28" s="62">
        <f t="shared" si="36"/>
        <v>621.03633124474163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21</v>
      </c>
      <c r="AR28" s="17">
        <f>IF(ISNA(VLOOKUP(A28,'Données projet'!$A$61:$I$81,5,0)),0%,VLOOKUP(A28,'Données projet'!$A$61:$I$81,5,0)*VLOOKUP('Données projet'!$B$10,Paramètres!$A$1:$I$89,7,0))</f>
        <v>5.5000000000000007E-2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0.5</v>
      </c>
      <c r="AU28" s="23">
        <f>EXP(-LN(2)/35)*AU27+(1-EXP(-LN(2)/35))/(LN(2)/35)*AQ28*AR28*VLOOKUP('Données projet'!$B$10,Paramètres!$A$1:$I$89,3,0)*0.475*44/12</f>
        <v>0.85648970783226197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6.6456374703315921</v>
      </c>
      <c r="AX28" s="23">
        <f t="shared" si="6"/>
        <v>7.5021271781638541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163</v>
      </c>
      <c r="BB28" s="13">
        <f>VLOOKUP(A28,'Données projet'!$A$87:$I$107,9,0)</f>
        <v>13.8</v>
      </c>
      <c r="BC28" s="13">
        <f t="array" ref="BC28">INDEX(BB:BB,MIN(IF(ISNUMBER(BB28:BB224),ROW(BB28:BB224),"")))</f>
        <v>13.8</v>
      </c>
      <c r="BD28" s="13">
        <f>IF('Données projet'!$A$88&gt;35,BD27+BC28-BL27,IF(A28&lt;'Données projet'!$A$88,$BA$205^A28,IF(A28='Données projet'!$A$88,'Données projet'!$B$88,BD27+BC28-BL27)))</f>
        <v>163.00000000000003</v>
      </c>
      <c r="BE28" s="14">
        <f>BD28*VLOOKUP('Données projet'!$B$11,Paramètres!$A$1:$I$89,3,0)*VLOOKUP('Données projet'!$B$11,Paramètres!$A$1:$I$89,5,0)</f>
        <v>142.39680000000004</v>
      </c>
      <c r="BF28" s="14">
        <f t="shared" si="37"/>
        <v>36.845535084476985</v>
      </c>
      <c r="BG28" s="22">
        <f t="shared" si="7"/>
        <v>312.18040027213078</v>
      </c>
      <c r="BH28" s="62">
        <f t="shared" si="8"/>
        <v>599.40262249435295</v>
      </c>
      <c r="BI28" s="62">
        <f ca="1">AVERAGE(OFFSET($BH$3,0,0,'Données projet'!$E$11+1,1))-AVERAGE(OFFSET($H$3,0,0,'Données projet'!$E$11+1,1))</f>
        <v>321.23599968992932</v>
      </c>
      <c r="BJ28" s="62">
        <f t="shared" si="38"/>
        <v>388.05195847800502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44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4.3703703703703702</v>
      </c>
      <c r="N29" s="14">
        <f>IF('Données projet'!$A$36&gt;35,N28+M29-V28,IF(A29&lt;'Données projet'!$A$36,$K$205^A29,IF(A29='Données projet'!$A$36,'Données projet'!$B$36,N28+M29-V28)))</f>
        <v>98.888465244589028</v>
      </c>
      <c r="O29" s="14">
        <f>N29*VLOOKUP('Données projet'!$B$9,Paramètres!$A$1:$I$89,3,0)*VLOOKUP('Données projet'!$B$9,Paramètres!$A$1:$I$89,5,0)</f>
        <v>59.135302216264243</v>
      </c>
      <c r="P29" s="14">
        <f t="shared" si="33"/>
        <v>16.949461920575921</v>
      </c>
      <c r="Q29" s="22">
        <f t="shared" si="2"/>
        <v>132.51429753832994</v>
      </c>
      <c r="R29" s="62">
        <f t="shared" si="0"/>
        <v>420.95874198277443</v>
      </c>
      <c r="S29" s="62">
        <f ca="1">AVERAGE(OFFSET($R$3,0,0,'Données projet'!$E$9+1,1))-AVERAGE(OFFSET($H$3,0,0,'Données projet'!$E$9+1,1))</f>
        <v>295.83974441964551</v>
      </c>
      <c r="T29" s="62">
        <f t="shared" si="34"/>
        <v>212.24900914818096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26.6</v>
      </c>
      <c r="AI29" s="14">
        <f>IF('Données projet'!$A$62&gt;35,AI28+AH29-AQ28,IF(A29&lt;'Données projet'!$A$62,$AF$205^A29,IF(A29='Données projet'!$A$62,'Données projet'!$B$62,AI28+AH29-AQ28)))</f>
        <v>377.60000000000008</v>
      </c>
      <c r="AJ29" s="14">
        <f>AI29*VLOOKUP('Données projet'!$B$10,Paramètres!$A$1:$I$89,3,0)*VLOOKUP('Données projet'!$B$10,Paramètres!$A$1:$I$89,5,0)</f>
        <v>211.07840000000004</v>
      </c>
      <c r="AK29" s="14">
        <f t="shared" si="35"/>
        <v>52.171172933509965</v>
      </c>
      <c r="AL29" s="22">
        <f t="shared" si="4"/>
        <v>458.49300619252995</v>
      </c>
      <c r="AM29" s="62">
        <f t="shared" si="5"/>
        <v>746.9374506369744</v>
      </c>
      <c r="AN29" s="62">
        <f ca="1">AVERAGE(OFFSET($AM$3,0,0,'Données projet'!$E$10+1,1))-AVERAGE(OFFSET($H$3,0,0,'Données projet'!$E$10+1,1))</f>
        <v>512.21337090113502</v>
      </c>
      <c r="AO29" s="62">
        <f t="shared" si="36"/>
        <v>621.03633124474163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0.83969446706880968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4.6991753205788829</v>
      </c>
      <c r="AX29" s="23">
        <f t="shared" si="6"/>
        <v>5.5388697876476929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</v>
      </c>
      <c r="BD29" s="13">
        <f>IF('Données projet'!$A$88&gt;35,BD28+BC29-BL28,IF(A29&lt;'Données projet'!$A$88,$BA$205^A29,IF(A29='Données projet'!$A$88,'Données projet'!$B$88,BD28+BC29-BL28)))</f>
        <v>132.00000000000003</v>
      </c>
      <c r="BE29" s="14">
        <f>BD29*VLOOKUP('Données projet'!$B$11,Paramètres!$A$1:$I$89,3,0)*VLOOKUP('Données projet'!$B$11,Paramètres!$A$1:$I$89,5,0)</f>
        <v>115.31520000000003</v>
      </c>
      <c r="BF29" s="14">
        <f t="shared" si="37"/>
        <v>30.579827148797317</v>
      </c>
      <c r="BG29" s="22">
        <f t="shared" si="7"/>
        <v>254.10050561748869</v>
      </c>
      <c r="BH29" s="62">
        <f t="shared" si="8"/>
        <v>542.54495006193315</v>
      </c>
      <c r="BI29" s="62">
        <f ca="1">AVERAGE(OFFSET($BH$3,0,0,'Données projet'!$E$11+1,1))-AVERAGE(OFFSET($H$3,0,0,'Données projet'!$E$11+1,1))</f>
        <v>321.23599968992932</v>
      </c>
      <c r="BJ29" s="62">
        <f t="shared" si="38"/>
        <v>388.05195847800502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>
        <f>VLOOKUP(A30,'Données projet'!$A$35:$I$55,2,0)</f>
        <v>118</v>
      </c>
      <c r="L30" s="13">
        <f>VLOOKUP(A30,'Données projet'!$A$35:$I$55,9,0)</f>
        <v>4.3703703703703702</v>
      </c>
      <c r="M30" s="13">
        <f t="array" ref="M30">INDEX(L:L,MIN(IF(ISNUMBER(L30:L226),ROW(L30:L226),"")))</f>
        <v>4.3703703703703702</v>
      </c>
      <c r="N30" s="14">
        <f>IF('Données projet'!$A$36&gt;35,N29+M30-V29,IF(A30&lt;'Données projet'!$A$36,$K$205^A30,IF(A30='Données projet'!$A$36,'Données projet'!$B$36,N29+M30-V29)))</f>
        <v>118</v>
      </c>
      <c r="O30" s="14">
        <f>N30*VLOOKUP('Données projet'!$B$9,Paramètres!$A$1:$I$89,3,0)*VLOOKUP('Données projet'!$B$9,Paramètres!$A$1:$I$89,5,0)</f>
        <v>70.564000000000007</v>
      </c>
      <c r="P30" s="14">
        <f t="shared" si="33"/>
        <v>19.813453167086163</v>
      </c>
      <c r="Q30" s="22">
        <f t="shared" si="2"/>
        <v>157.40739759934175</v>
      </c>
      <c r="R30" s="62">
        <f t="shared" si="0"/>
        <v>447.07406426600846</v>
      </c>
      <c r="S30" s="62">
        <f ca="1">AVERAGE(OFFSET($R$3,0,0,'Données projet'!$E$9+1,1))-AVERAGE(OFFSET($H$3,0,0,'Données projet'!$E$9+1,1))</f>
        <v>295.83974441964551</v>
      </c>
      <c r="T30" s="62">
        <f t="shared" si="34"/>
        <v>212.24900914818096</v>
      </c>
      <c r="U30" s="16">
        <f>IF(ISNA(VLOOKUP(A30,'Données projet'!$A$35:$I$55,3,0)),0,VLOOKUP(A30,'Données projet'!$A$35:$I$55,3,0))</f>
        <v>1</v>
      </c>
      <c r="V30" s="16">
        <f>IF(ISNA(VLOOKUP(A30,'Données projet'!$A$35:$I$55,4,0)),0,VLOOKUP(A30,'Données projet'!$A$35:$I$55,4,0))</f>
        <v>15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26.6</v>
      </c>
      <c r="AI30" s="14">
        <f>IF('Données projet'!$A$62&gt;35,AI29+AH30-AQ29,IF(A30&lt;'Données projet'!$A$62,$AF$205^A30,IF(A30='Données projet'!$A$62,'Données projet'!$B$62,AI29+AH30-AQ29)))</f>
        <v>404.2000000000001</v>
      </c>
      <c r="AJ30" s="14">
        <f>AI30*VLOOKUP('Données projet'!$B$10,Paramètres!$A$1:$I$89,3,0)*VLOOKUP('Données projet'!$B$10,Paramètres!$A$1:$I$89,5,0)</f>
        <v>225.94780000000006</v>
      </c>
      <c r="AK30" s="14">
        <f t="shared" si="35"/>
        <v>55.405596784542439</v>
      </c>
      <c r="AL30" s="22">
        <f t="shared" si="4"/>
        <v>490.02383273307811</v>
      </c>
      <c r="AM30" s="62">
        <f t="shared" si="5"/>
        <v>779.69049939974479</v>
      </c>
      <c r="AN30" s="62">
        <f ca="1">AVERAGE(OFFSET($AM$3,0,0,'Données projet'!$E$10+1,1))-AVERAGE(OFFSET($H$3,0,0,'Données projet'!$E$10+1,1))</f>
        <v>512.21337090113502</v>
      </c>
      <c r="AO30" s="62">
        <f t="shared" si="36"/>
        <v>621.03633124474163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0.82322857073264333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3.3228187351657965</v>
      </c>
      <c r="AX30" s="23">
        <f t="shared" si="6"/>
        <v>4.1460473058984402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</v>
      </c>
      <c r="BD30" s="13">
        <f>IF('Données projet'!$A$88&gt;35,BD29+BC30-BL29,IF(A30&lt;'Données projet'!$A$88,$BA$205^A30,IF(A30='Données projet'!$A$88,'Données projet'!$B$88,BD29+BC30-BL29)))</f>
        <v>145.00000000000003</v>
      </c>
      <c r="BE30" s="14">
        <f>BD30*VLOOKUP('Données projet'!$B$11,Paramètres!$A$1:$I$89,3,0)*VLOOKUP('Données projet'!$B$11,Paramètres!$A$1:$I$89,5,0)</f>
        <v>126.67200000000003</v>
      </c>
      <c r="BF30" s="14">
        <f t="shared" si="37"/>
        <v>33.226199426361347</v>
      </c>
      <c r="BG30" s="22">
        <f t="shared" si="7"/>
        <v>278.48936400091276</v>
      </c>
      <c r="BH30" s="62">
        <f t="shared" si="8"/>
        <v>568.15603066757944</v>
      </c>
      <c r="BI30" s="62">
        <f ca="1">AVERAGE(OFFSET($BH$3,0,0,'Données projet'!$E$11+1,1))-AVERAGE(OFFSET($H$3,0,0,'Données projet'!$E$11+1,1))</f>
        <v>321.23599968992932</v>
      </c>
      <c r="BJ30" s="62">
        <f t="shared" si="38"/>
        <v>388.05195847800502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9.6666666666666661</v>
      </c>
      <c r="N31" s="14">
        <f>IF('Données projet'!$A$36&gt;35,N30+M31-V30,IF(A31&lt;'Données projet'!$A$36,$K$205^A31,IF(A31='Données projet'!$A$36,'Données projet'!$B$36,N30+M31-V30)))</f>
        <v>112.66666666666667</v>
      </c>
      <c r="O31" s="14">
        <f>N31*VLOOKUP('Données projet'!$B$9,Paramètres!$A$1:$I$89,3,0)*VLOOKUP('Données projet'!$B$9,Paramètres!$A$1:$I$89,5,0)</f>
        <v>67.37466666666667</v>
      </c>
      <c r="P31" s="14">
        <f t="shared" si="33"/>
        <v>19.020051421525295</v>
      </c>
      <c r="Q31" s="22">
        <f t="shared" si="2"/>
        <v>150.47080067026766</v>
      </c>
      <c r="R31" s="62">
        <f t="shared" si="0"/>
        <v>441.35968955915655</v>
      </c>
      <c r="S31" s="62">
        <f ca="1">AVERAGE(OFFSET($R$3,0,0,'Données projet'!$E$9+1,1))-AVERAGE(OFFSET($H$3,0,0,'Données projet'!$E$9+1,1))</f>
        <v>295.83974441964551</v>
      </c>
      <c r="T31" s="62">
        <f t="shared" si="34"/>
        <v>212.24900914818096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26.6</v>
      </c>
      <c r="AI31" s="14">
        <f>IF('Données projet'!$A$62&gt;35,AI30+AH31-AQ30,IF(A31&lt;'Données projet'!$A$62,$AF$205^A31,IF(A31='Données projet'!$A$62,'Données projet'!$B$62,AI30+AH31-AQ30)))</f>
        <v>430.80000000000013</v>
      </c>
      <c r="AJ31" s="14">
        <f>AI31*VLOOKUP('Données projet'!$B$10,Paramètres!$A$1:$I$89,3,0)*VLOOKUP('Données projet'!$B$10,Paramètres!$A$1:$I$89,5,0)</f>
        <v>240.81720000000007</v>
      </c>
      <c r="AK31" s="14">
        <f t="shared" si="35"/>
        <v>58.615320243858108</v>
      </c>
      <c r="AL31" s="22">
        <f t="shared" si="4"/>
        <v>521.51163942471965</v>
      </c>
      <c r="AM31" s="62">
        <f t="shared" si="5"/>
        <v>812.40052831360845</v>
      </c>
      <c r="AN31" s="62">
        <f ca="1">AVERAGE(OFFSET($AM$3,0,0,'Données projet'!$E$10+1,1))-AVERAGE(OFFSET($H$3,0,0,'Données projet'!$E$10+1,1))</f>
        <v>512.21337090113502</v>
      </c>
      <c r="AO31" s="62">
        <f t="shared" si="36"/>
        <v>621.03633124474163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0.80708556058042413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2.3495876602894414</v>
      </c>
      <c r="AX31" s="23">
        <f t="shared" si="6"/>
        <v>3.1566732208698656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</v>
      </c>
      <c r="BD31" s="13">
        <f>IF('Données projet'!$A$88&gt;35,BD30+BC31-BL30,IF(A31&lt;'Données projet'!$A$88,$BA$205^A31,IF(A31='Données projet'!$A$88,'Données projet'!$B$88,BD30+BC31-BL30)))</f>
        <v>158.00000000000003</v>
      </c>
      <c r="BE31" s="14">
        <f>BD31*VLOOKUP('Données projet'!$B$11,Paramètres!$A$1:$I$89,3,0)*VLOOKUP('Données projet'!$B$11,Paramètres!$A$1:$I$89,5,0)</f>
        <v>138.02880000000005</v>
      </c>
      <c r="BF31" s="14">
        <f t="shared" si="37"/>
        <v>35.845059256813073</v>
      </c>
      <c r="BG31" s="22">
        <f t="shared" si="7"/>
        <v>302.83030487228285</v>
      </c>
      <c r="BH31" s="62">
        <f t="shared" si="8"/>
        <v>593.71919376117171</v>
      </c>
      <c r="BI31" s="62">
        <f ca="1">AVERAGE(OFFSET($BH$3,0,0,'Données projet'!$E$11+1,1))-AVERAGE(OFFSET($H$3,0,0,'Données projet'!$E$11+1,1))</f>
        <v>321.23599968992932</v>
      </c>
      <c r="BJ31" s="62">
        <f t="shared" si="38"/>
        <v>388.05195847800502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9.6666666666666661</v>
      </c>
      <c r="N32" s="14">
        <f>IF('Données projet'!$A$36&gt;35,N31+M32-V31,IF(A32&lt;'Données projet'!$A$36,$K$205^A32,IF(A32='Données projet'!$A$36,'Données projet'!$B$36,N31+M32-V31)))</f>
        <v>122.33333333333334</v>
      </c>
      <c r="O32" s="14">
        <f>N32*VLOOKUP('Données projet'!$B$9,Paramètres!$A$1:$I$89,3,0)*VLOOKUP('Données projet'!$B$9,Paramètres!$A$1:$I$89,5,0)</f>
        <v>73.155333333333346</v>
      </c>
      <c r="P32" s="14">
        <f t="shared" si="33"/>
        <v>20.455016056663315</v>
      </c>
      <c r="Q32" s="22">
        <f t="shared" si="2"/>
        <v>163.03802518757752</v>
      </c>
      <c r="R32" s="62">
        <f t="shared" si="0"/>
        <v>455.14913629868863</v>
      </c>
      <c r="S32" s="62">
        <f ca="1">AVERAGE(OFFSET($R$3,0,0,'Données projet'!$E$9+1,1))-AVERAGE(OFFSET($H$3,0,0,'Données projet'!$E$9+1,1))</f>
        <v>295.83974441964551</v>
      </c>
      <c r="T32" s="62">
        <f t="shared" si="34"/>
        <v>212.24900914818096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26.6</v>
      </c>
      <c r="AI32" s="14">
        <f>IF('Données projet'!$A$62&gt;35,AI31+AH32-AQ31,IF(A32&lt;'Données projet'!$A$62,$AF$205^A32,IF(A32='Données projet'!$A$62,'Données projet'!$B$62,AI31+AH32-AQ31)))</f>
        <v>457.40000000000015</v>
      </c>
      <c r="AJ32" s="14">
        <f>AI32*VLOOKUP('Données projet'!$B$10,Paramètres!$A$1:$I$89,3,0)*VLOOKUP('Données projet'!$B$10,Paramètres!$A$1:$I$89,5,0)</f>
        <v>255.68660000000011</v>
      </c>
      <c r="AK32" s="14">
        <f t="shared" si="35"/>
        <v>61.80204209851388</v>
      </c>
      <c r="AL32" s="22">
        <f t="shared" si="4"/>
        <v>552.95938498824523</v>
      </c>
      <c r="AM32" s="62">
        <f t="shared" si="5"/>
        <v>845.07049609935643</v>
      </c>
      <c r="AN32" s="62">
        <f ca="1">AVERAGE(OFFSET($AM$3,0,0,'Données projet'!$E$10+1,1))-AVERAGE(OFFSET($H$3,0,0,'Données projet'!$E$10+1,1))</f>
        <v>512.21337090113502</v>
      </c>
      <c r="AO32" s="62">
        <f t="shared" si="36"/>
        <v>621.03633124474163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0.79125910501102603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1.6614093675828983</v>
      </c>
      <c r="AX32" s="23">
        <f t="shared" si="6"/>
        <v>2.4526684725939241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</v>
      </c>
      <c r="BD32" s="13">
        <f>IF('Données projet'!$A$88&gt;35,BD31+BC32-BL31,IF(A32&lt;'Données projet'!$A$88,$BA$205^A32,IF(A32='Données projet'!$A$88,'Données projet'!$B$88,BD31+BC32-BL31)))</f>
        <v>171.00000000000003</v>
      </c>
      <c r="BE32" s="14">
        <f>BD32*VLOOKUP('Données projet'!$B$11,Paramètres!$A$1:$I$89,3,0)*VLOOKUP('Données projet'!$B$11,Paramètres!$A$1:$I$89,5,0)</f>
        <v>149.38560000000004</v>
      </c>
      <c r="BF32" s="14">
        <f t="shared" si="37"/>
        <v>38.438927680599591</v>
      </c>
      <c r="BG32" s="22">
        <f t="shared" si="7"/>
        <v>327.12771904371101</v>
      </c>
      <c r="BH32" s="62">
        <f t="shared" si="8"/>
        <v>619.23883015482215</v>
      </c>
      <c r="BI32" s="62">
        <f ca="1">AVERAGE(OFFSET($BH$3,0,0,'Données projet'!$E$11+1,1))-AVERAGE(OFFSET($H$3,0,0,'Données projet'!$E$11+1,1))</f>
        <v>321.23599968992932</v>
      </c>
      <c r="BJ32" s="62">
        <f t="shared" si="38"/>
        <v>388.05195847800502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132</v>
      </c>
      <c r="L33" s="13">
        <f>VLOOKUP(A33,'Données projet'!$A$35:$I$55,9,0)</f>
        <v>9.6666666666666661</v>
      </c>
      <c r="M33" s="13">
        <f t="array" ref="M33">INDEX(L:L,MIN(IF(ISNUMBER(L33:L229),ROW(L33:L229),"")))</f>
        <v>9.6666666666666661</v>
      </c>
      <c r="N33" s="14">
        <f>IF('Données projet'!$A$36&gt;35,N32+M33-V32,IF(A33&lt;'Données projet'!$A$36,$K$205^A33,IF(A33='Données projet'!$A$36,'Données projet'!$B$36,N32+M33-V32)))</f>
        <v>132</v>
      </c>
      <c r="O33" s="14">
        <f>N33*VLOOKUP('Données projet'!$B$9,Paramètres!$A$1:$I$89,3,0)*VLOOKUP('Données projet'!$B$9,Paramètres!$A$1:$I$89,5,0)</f>
        <v>78.936000000000007</v>
      </c>
      <c r="P33" s="14">
        <f t="shared" si="33"/>
        <v>21.876828219051273</v>
      </c>
      <c r="Q33" s="22">
        <f t="shared" si="2"/>
        <v>175.5823424815143</v>
      </c>
      <c r="R33" s="62">
        <f t="shared" si="0"/>
        <v>468.91567581484765</v>
      </c>
      <c r="S33" s="62">
        <f ca="1">AVERAGE(OFFSET($R$3,0,0,'Données projet'!$E$9+1,1))-AVERAGE(OFFSET($H$3,0,0,'Données projet'!$E$9+1,1))</f>
        <v>295.83974441964551</v>
      </c>
      <c r="T33" s="62">
        <f t="shared" si="34"/>
        <v>212.24900914818096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13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4.4009869404853736</v>
      </c>
      <c r="AC33" s="24">
        <f t="shared" si="3"/>
        <v>4.4009869404853736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484</v>
      </c>
      <c r="AG33" s="13">
        <f>VLOOKUP(A33,'Données projet'!$A$61:$I$81,9,0)</f>
        <v>26.6</v>
      </c>
      <c r="AH33" s="13">
        <f t="array" ref="AH33">INDEX(AG:AG,MIN(IF(ISNUMBER(AG33:AG229),ROW(AG33:AG229),"")))</f>
        <v>26.6</v>
      </c>
      <c r="AI33" s="14">
        <f>IF('Données projet'!$A$62&gt;35,AI32+AH33-AQ32,IF(A33&lt;'Données projet'!$A$62,$AF$205^A33,IF(A33='Données projet'!$A$62,'Données projet'!$B$62,AI32+AH33-AQ32)))</f>
        <v>484.00000000000017</v>
      </c>
      <c r="AJ33" s="14">
        <f>AI33*VLOOKUP('Données projet'!$B$10,Paramètres!$A$1:$I$89,3,0)*VLOOKUP('Données projet'!$B$10,Paramètres!$A$1:$I$89,5,0)</f>
        <v>270.5560000000001</v>
      </c>
      <c r="AK33" s="14">
        <f t="shared" si="35"/>
        <v>64.967252389325282</v>
      </c>
      <c r="AL33" s="22">
        <f t="shared" si="4"/>
        <v>584.369664578075</v>
      </c>
      <c r="AM33" s="62">
        <f t="shared" si="5"/>
        <v>877.70299791140837</v>
      </c>
      <c r="AN33" s="62">
        <f ca="1">AVERAGE(OFFSET($AM$3,0,0,'Données projet'!$E$10+1,1))-AVERAGE(OFFSET($H$3,0,0,'Données projet'!$E$10+1,1))</f>
        <v>512.21337090113502</v>
      </c>
      <c r="AO33" s="62">
        <f t="shared" si="36"/>
        <v>621.03633124474163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48</v>
      </c>
      <c r="AR33" s="17">
        <f>IF(ISNA(VLOOKUP(A33,'Données projet'!$A$61:$I$81,5,0)),0%,VLOOKUP(A33,'Données projet'!$A$61:$I$81,5,0)*VLOOKUP('Données projet'!$B$10,Paramètres!$A$1:$I$89,7,0))</f>
        <v>0.13750000000000001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0.75</v>
      </c>
      <c r="AU33" s="23">
        <f>EXP(-LN(2)/35)*AU32+(1-EXP(-LN(2)/35))/(LN(2)/35)*AQ33*AR33*VLOOKUP('Données projet'!$B$10,Paramètres!$A$1:$I$89,3,0)*0.475*44/12</f>
        <v>5.6699698984807991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23.95983658556732</v>
      </c>
      <c r="AX33" s="23">
        <f t="shared" si="6"/>
        <v>29.629806484048117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184</v>
      </c>
      <c r="BB33" s="13">
        <f>VLOOKUP(A33,'Données projet'!$A$87:$I$107,9,0)</f>
        <v>13</v>
      </c>
      <c r="BC33" s="13">
        <f t="array" ref="BC33">INDEX(BB:BB,MIN(IF(ISNUMBER(BB33:BB229),ROW(BB33:BB229),"")))</f>
        <v>13</v>
      </c>
      <c r="BD33" s="13">
        <f>IF('Données projet'!$A$88&gt;35,BD32+BC33-BL32,IF(A33&lt;'Données projet'!$A$88,$BA$205^A33,IF(A33='Données projet'!$A$88,'Données projet'!$B$88,BD32+BC33-BL32)))</f>
        <v>184.00000000000003</v>
      </c>
      <c r="BE33" s="14">
        <f>BD33*VLOOKUP('Données projet'!$B$11,Paramètres!$A$1:$I$89,3,0)*VLOOKUP('Données projet'!$B$11,Paramètres!$A$1:$I$89,5,0)</f>
        <v>160.74240000000003</v>
      </c>
      <c r="BF33" s="14">
        <f t="shared" si="37"/>
        <v>41.009920657227809</v>
      </c>
      <c r="BG33" s="22">
        <f t="shared" si="7"/>
        <v>351.38529181133845</v>
      </c>
      <c r="BH33" s="62">
        <f t="shared" si="8"/>
        <v>644.71862514467171</v>
      </c>
      <c r="BI33" s="62">
        <f ca="1">AVERAGE(OFFSET($BH$3,0,0,'Données projet'!$E$11+1,1))-AVERAGE(OFFSET($H$3,0,0,'Données projet'!$E$11+1,1))</f>
        <v>321.23599968992932</v>
      </c>
      <c r="BJ33" s="62">
        <f t="shared" si="38"/>
        <v>388.05195847800502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44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129</v>
      </c>
      <c r="O34" s="14">
        <f>N34*VLOOKUP('Données projet'!$B$9,Paramètres!$A$1:$I$89,3,0)*VLOOKUP('Données projet'!$B$9,Paramètres!$A$1:$I$89,5,0)</f>
        <v>77.14200000000001</v>
      </c>
      <c r="P34" s="14">
        <f t="shared" si="33"/>
        <v>21.436915648510755</v>
      </c>
      <c r="Q34" s="22">
        <f t="shared" si="2"/>
        <v>171.69161142115624</v>
      </c>
      <c r="R34" s="62">
        <f t="shared" si="0"/>
        <v>465.02494475448952</v>
      </c>
      <c r="S34" s="62">
        <f ca="1">AVERAGE(OFFSET($R$3,0,0,'Données projet'!$E$9+1,1))-AVERAGE(OFFSET($H$3,0,0,'Données projet'!$E$9+1,1))</f>
        <v>295.83974441964551</v>
      </c>
      <c r="T34" s="62">
        <f t="shared" si="34"/>
        <v>212.24900914818096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3.1119677095306444</v>
      </c>
      <c r="AC34" s="24">
        <f t="shared" si="3"/>
        <v>3.1119677095306444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24.6</v>
      </c>
      <c r="AI34" s="14">
        <f>IF('Données projet'!$A$62&gt;35,AI33+AH34-AQ33,IF(A34&lt;'Données projet'!$A$62,$AF$205^A34,IF(A34='Données projet'!$A$62,'Données projet'!$B$62,AI33+AH34-AQ33)))</f>
        <v>460.60000000000019</v>
      </c>
      <c r="AJ34" s="14">
        <f>AI34*VLOOKUP('Données projet'!$B$10,Paramètres!$A$1:$I$89,3,0)*VLOOKUP('Données projet'!$B$10,Paramètres!$A$1:$I$89,5,0)</f>
        <v>257.47540000000009</v>
      </c>
      <c r="AK34" s="14">
        <f t="shared" si="35"/>
        <v>62.183930036702655</v>
      </c>
      <c r="AL34" s="22">
        <f t="shared" si="4"/>
        <v>556.73999981392387</v>
      </c>
      <c r="AM34" s="62">
        <f t="shared" si="5"/>
        <v>850.07333314725724</v>
      </c>
      <c r="AN34" s="62">
        <f ca="1">AVERAGE(OFFSET($AM$3,0,0,'Données projet'!$E$10+1,1))-AVERAGE(OFFSET($H$3,0,0,'Données projet'!$E$10+1,1))</f>
        <v>512.21337090113502</v>
      </c>
      <c r="AO34" s="62">
        <f t="shared" si="36"/>
        <v>621.03633124474163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5.5587852471117456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16.942162925776188</v>
      </c>
      <c r="AX34" s="23">
        <f t="shared" si="6"/>
        <v>22.500948172887934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12.2</v>
      </c>
      <c r="BD34" s="13">
        <f>IF('Données projet'!$A$88&gt;35,BD33+BC34-BL33,IF(A34&lt;'Données projet'!$A$88,$BA$205^A34,IF(A34='Données projet'!$A$88,'Données projet'!$B$88,BD33+BC34-BL33)))</f>
        <v>152.20000000000002</v>
      </c>
      <c r="BE34" s="14">
        <f>BD34*VLOOKUP('Données projet'!$B$11,Paramètres!$A$1:$I$89,3,0)*VLOOKUP('Données projet'!$B$11,Paramètres!$A$1:$I$89,5,0)</f>
        <v>132.96192000000002</v>
      </c>
      <c r="BF34" s="14">
        <f t="shared" si="37"/>
        <v>34.679872132599144</v>
      </c>
      <c r="BG34" s="22">
        <f t="shared" si="7"/>
        <v>291.97612129761018</v>
      </c>
      <c r="BH34" s="62">
        <f t="shared" si="8"/>
        <v>585.30945463094349</v>
      </c>
      <c r="BI34" s="62">
        <f ca="1">AVERAGE(OFFSET($BH$3,0,0,'Données projet'!$E$11+1,1))-AVERAGE(OFFSET($H$3,0,0,'Données projet'!$E$11+1,1))</f>
        <v>321.23599968992932</v>
      </c>
      <c r="BJ34" s="62">
        <f t="shared" si="38"/>
        <v>388.05195847800502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139</v>
      </c>
      <c r="O35" s="14">
        <f>N35*VLOOKUP('Données projet'!$B$9,Paramètres!$A$1:$I$89,3,0)*VLOOKUP('Données projet'!$B$9,Paramètres!$A$1:$I$89,5,0)</f>
        <v>83.122000000000014</v>
      </c>
      <c r="P35" s="14">
        <f t="shared" si="33"/>
        <v>22.898820278178533</v>
      </c>
      <c r="Q35" s="22">
        <f t="shared" ref="Q35:Q66" si="53">(O35+P35)*0.475*44/12</f>
        <v>184.65292865116098</v>
      </c>
      <c r="R35" s="62">
        <f t="shared" si="0"/>
        <v>477.98626198449426</v>
      </c>
      <c r="S35" s="62">
        <f ca="1">AVERAGE(OFFSET($R$3,0,0,'Données projet'!$E$9+1,1))-AVERAGE(OFFSET($H$3,0,0,'Données projet'!$E$9+1,1))</f>
        <v>295.83974441964551</v>
      </c>
      <c r="T35" s="62">
        <f t="shared" si="34"/>
        <v>212.24900914818096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2.2004934702426868</v>
      </c>
      <c r="AC35" s="24">
        <f t="shared" si="3"/>
        <v>2.2004934702426868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24.6</v>
      </c>
      <c r="AI35" s="14">
        <f>IF('Données projet'!$A$62&gt;35,AI34+AH35-AQ34,IF(A35&lt;'Données projet'!$A$62,$AF$205^A35,IF(A35='Données projet'!$A$62,'Données projet'!$B$62,AI34+AH35-AQ34)))</f>
        <v>485.20000000000022</v>
      </c>
      <c r="AJ35" s="14">
        <f>AI35*VLOOKUP('Données projet'!$B$10,Paramètres!$A$1:$I$89,3,0)*VLOOKUP('Données projet'!$B$10,Paramètres!$A$1:$I$89,5,0)</f>
        <v>271.22680000000014</v>
      </c>
      <c r="AK35" s="14">
        <f t="shared" si="35"/>
        <v>65.109558476355161</v>
      </c>
      <c r="AL35" s="22">
        <f t="shared" si="4"/>
        <v>585.7858243463188</v>
      </c>
      <c r="AM35" s="62">
        <f t="shared" si="5"/>
        <v>879.11915767965206</v>
      </c>
      <c r="AN35" s="62">
        <f ca="1">AVERAGE(OFFSET($AM$3,0,0,'Données projet'!$E$10+1,1))-AVERAGE(OFFSET($H$3,0,0,'Données projet'!$E$10+1,1))</f>
        <v>512.21337090113502</v>
      </c>
      <c r="AO35" s="62">
        <f t="shared" si="36"/>
        <v>621.03633124474163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5.4497808589400982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11.979918292783662</v>
      </c>
      <c r="AX35" s="23">
        <f t="shared" si="6"/>
        <v>17.42969915172376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12.2</v>
      </c>
      <c r="BD35" s="13">
        <f>IF('Données projet'!$A$88&gt;35,BD34+BC35-BL34,IF(A35&lt;'Données projet'!$A$88,$BA$205^A35,IF(A35='Données projet'!$A$88,'Données projet'!$B$88,BD34+BC35-BL34)))</f>
        <v>164.4</v>
      </c>
      <c r="BE35" s="14">
        <f>BD35*VLOOKUP('Données projet'!$B$11,Paramètres!$A$1:$I$89,3,0)*VLOOKUP('Données projet'!$B$11,Paramètres!$A$1:$I$89,5,0)</f>
        <v>143.61984000000001</v>
      </c>
      <c r="BF35" s="14">
        <f t="shared" si="37"/>
        <v>37.125023974706046</v>
      </c>
      <c r="BG35" s="22">
        <f t="shared" si="7"/>
        <v>314.79730475594641</v>
      </c>
      <c r="BH35" s="62">
        <f t="shared" si="8"/>
        <v>608.13063808927973</v>
      </c>
      <c r="BI35" s="62">
        <f ca="1">AVERAGE(OFFSET($BH$3,0,0,'Données projet'!$E$11+1,1))-AVERAGE(OFFSET($H$3,0,0,'Données projet'!$E$11+1,1))</f>
        <v>321.23599968992932</v>
      </c>
      <c r="BJ35" s="62">
        <f t="shared" si="38"/>
        <v>388.05195847800502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149</v>
      </c>
      <c r="O36" s="14">
        <f>N36*VLOOKUP('Données projet'!$B$9,Paramètres!$A$1:$I$89,3,0)*VLOOKUP('Données projet'!$B$9,Paramètres!$A$1:$I$89,5,0)</f>
        <v>89.102000000000018</v>
      </c>
      <c r="P36" s="14">
        <f t="shared" si="33"/>
        <v>24.348522781128082</v>
      </c>
      <c r="Q36" s="22">
        <f t="shared" si="53"/>
        <v>197.5929938437981</v>
      </c>
      <c r="R36" s="62">
        <f t="shared" si="0"/>
        <v>490.92632717713138</v>
      </c>
      <c r="S36" s="62">
        <f ca="1">AVERAGE(OFFSET($R$3,0,0,'Données projet'!$E$9+1,1))-AVERAGE(OFFSET($H$3,0,0,'Données projet'!$E$9+1,1))</f>
        <v>295.83974441964551</v>
      </c>
      <c r="T36" s="62">
        <f t="shared" si="34"/>
        <v>212.24900914818096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1.5559838547653222</v>
      </c>
      <c r="AC36" s="24">
        <f t="shared" si="3"/>
        <v>1.5559838547653222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24.6</v>
      </c>
      <c r="AI36" s="14">
        <f>IF('Données projet'!$A$62&gt;35,AI35+AH36-AQ35,IF(A36&lt;'Données projet'!$A$62,$AF$205^A36,IF(A36='Données projet'!$A$62,'Données projet'!$B$62,AI35+AH36-AQ35)))</f>
        <v>509.80000000000024</v>
      </c>
      <c r="AJ36" s="14">
        <f>AI36*VLOOKUP('Données projet'!$B$10,Paramètres!$A$1:$I$89,3,0)*VLOOKUP('Données projet'!$B$10,Paramètres!$A$1:$I$89,5,0)</f>
        <v>284.97820000000013</v>
      </c>
      <c r="AK36" s="14">
        <f t="shared" si="35"/>
        <v>68.017964183169582</v>
      </c>
      <c r="AL36" s="22">
        <f t="shared" si="4"/>
        <v>614.8016526190205</v>
      </c>
      <c r="AM36" s="62">
        <f t="shared" si="5"/>
        <v>908.13498595235387</v>
      </c>
      <c r="AN36" s="62">
        <f ca="1">AVERAGE(OFFSET($AM$3,0,0,'Données projet'!$E$10+1,1))-AVERAGE(OFFSET($H$3,0,0,'Données projet'!$E$10+1,1))</f>
        <v>512.21337090113502</v>
      </c>
      <c r="AO36" s="62">
        <f t="shared" si="36"/>
        <v>621.03633124474163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5.3429139803343855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8.4710814628880957</v>
      </c>
      <c r="AX36" s="23">
        <f t="shared" si="6"/>
        <v>13.813995443222481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12.2</v>
      </c>
      <c r="BD36" s="13">
        <f>IF('Données projet'!$A$88&gt;35,BD35+BC36-BL35,IF(A36&lt;'Données projet'!$A$88,$BA$205^A36,IF(A36='Données projet'!$A$88,'Données projet'!$B$88,BD35+BC36-BL35)))</f>
        <v>176.6</v>
      </c>
      <c r="BE36" s="14">
        <f>BD36*VLOOKUP('Données projet'!$B$11,Paramètres!$A$1:$I$89,3,0)*VLOOKUP('Données projet'!$B$11,Paramètres!$A$1:$I$89,5,0)</f>
        <v>154.27776</v>
      </c>
      <c r="BF36" s="14">
        <f t="shared" si="37"/>
        <v>39.549125277353333</v>
      </c>
      <c r="BG36" s="22">
        <f t="shared" si="7"/>
        <v>337.58182519139035</v>
      </c>
      <c r="BH36" s="62">
        <f t="shared" si="8"/>
        <v>630.91515852472367</v>
      </c>
      <c r="BI36" s="62">
        <f ca="1">AVERAGE(OFFSET($BH$3,0,0,'Données projet'!$E$11+1,1))-AVERAGE(OFFSET($H$3,0,0,'Données projet'!$E$11+1,1))</f>
        <v>321.23599968992932</v>
      </c>
      <c r="BJ36" s="62">
        <f t="shared" si="38"/>
        <v>388.05195847800502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159</v>
      </c>
      <c r="O37" s="14">
        <f>N37*VLOOKUP('Données projet'!$B$9,Paramètres!$A$1:$I$89,3,0)*VLOOKUP('Données projet'!$B$9,Paramètres!$A$1:$I$89,5,0)</f>
        <v>95.082000000000008</v>
      </c>
      <c r="P37" s="14">
        <f t="shared" si="33"/>
        <v>25.786935269387122</v>
      </c>
      <c r="Q37" s="22">
        <f t="shared" si="53"/>
        <v>210.51339559418258</v>
      </c>
      <c r="R37" s="62">
        <f t="shared" si="0"/>
        <v>503.84672892751587</v>
      </c>
      <c r="S37" s="62">
        <f ca="1">AVERAGE(OFFSET($R$3,0,0,'Données projet'!$E$9+1,1))-AVERAGE(OFFSET($H$3,0,0,'Données projet'!$E$9+1,1))</f>
        <v>295.83974441964551</v>
      </c>
      <c r="T37" s="62">
        <f t="shared" si="34"/>
        <v>212.24900914818096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1.1002467351213434</v>
      </c>
      <c r="AC37" s="24">
        <f t="shared" si="3"/>
        <v>1.1002467351213434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24.6</v>
      </c>
      <c r="AI37" s="14">
        <f>IF('Données projet'!$A$62&gt;35,AI36+AH37-AQ36,IF(A37&lt;'Données projet'!$A$62,$AF$205^A37,IF(A37='Données projet'!$A$62,'Données projet'!$B$62,AI36+AH37-AQ36)))</f>
        <v>534.4000000000002</v>
      </c>
      <c r="AJ37" s="14">
        <f>AI37*VLOOKUP('Données projet'!$B$10,Paramètres!$A$1:$I$89,3,0)*VLOOKUP('Données projet'!$B$10,Paramètres!$A$1:$I$89,5,0)</f>
        <v>298.72960000000012</v>
      </c>
      <c r="AK37" s="14">
        <f t="shared" si="35"/>
        <v>70.910073097686976</v>
      </c>
      <c r="AL37" s="22">
        <f t="shared" si="4"/>
        <v>643.78909731180499</v>
      </c>
      <c r="AM37" s="62">
        <f t="shared" si="5"/>
        <v>937.12243064513837</v>
      </c>
      <c r="AN37" s="62">
        <f ca="1">AVERAGE(OFFSET($AM$3,0,0,'Données projet'!$E$10+1,1))-AVERAGE(OFFSET($H$3,0,0,'Données projet'!$E$10+1,1))</f>
        <v>512.21337090113502</v>
      </c>
      <c r="AO37" s="62">
        <f t="shared" si="36"/>
        <v>621.03633124474163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5.2381426960357711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5.9899591463918318</v>
      </c>
      <c r="AX37" s="23">
        <f t="shared" si="6"/>
        <v>11.228101842427602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12.2</v>
      </c>
      <c r="BD37" s="13">
        <f>IF('Données projet'!$A$88&gt;35,BD36+BC37-BL36,IF(A37&lt;'Données projet'!$A$88,$BA$205^A37,IF(A37='Données projet'!$A$88,'Données projet'!$B$88,BD36+BC37-BL36)))</f>
        <v>188.79999999999998</v>
      </c>
      <c r="BE37" s="14">
        <f>BD37*VLOOKUP('Données projet'!$B$11,Paramètres!$A$1:$I$89,3,0)*VLOOKUP('Données projet'!$B$11,Paramètres!$A$1:$I$89,5,0)</f>
        <v>164.93567999999999</v>
      </c>
      <c r="BF37" s="14">
        <f t="shared" si="37"/>
        <v>41.953795695589498</v>
      </c>
      <c r="BG37" s="22">
        <f t="shared" si="7"/>
        <v>360.33250350315166</v>
      </c>
      <c r="BH37" s="62">
        <f t="shared" si="8"/>
        <v>653.66583683648491</v>
      </c>
      <c r="BI37" s="62">
        <f ca="1">AVERAGE(OFFSET($BH$3,0,0,'Données projet'!$E$11+1,1))-AVERAGE(OFFSET($H$3,0,0,'Données projet'!$E$11+1,1))</f>
        <v>321.23599968992932</v>
      </c>
      <c r="BJ37" s="62">
        <f t="shared" si="38"/>
        <v>388.05195847800502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169</v>
      </c>
      <c r="L38" s="13">
        <f>VLOOKUP(A38,'Données projet'!$A$35:$I$55,9,0)</f>
        <v>10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169</v>
      </c>
      <c r="O38" s="14">
        <f>N38*VLOOKUP('Données projet'!$B$9,Paramètres!$A$1:$I$89,3,0)*VLOOKUP('Données projet'!$B$9,Paramètres!$A$1:$I$89,5,0)</f>
        <v>101.06200000000001</v>
      </c>
      <c r="P38" s="14">
        <f t="shared" si="33"/>
        <v>27.214848638810562</v>
      </c>
      <c r="Q38" s="22">
        <f t="shared" si="53"/>
        <v>223.41551137926174</v>
      </c>
      <c r="R38" s="62">
        <f t="shared" si="0"/>
        <v>516.74884471259509</v>
      </c>
      <c r="S38" s="62">
        <f ca="1">AVERAGE(OFFSET($R$3,0,0,'Données projet'!$E$9+1,1))-AVERAGE(OFFSET($H$3,0,0,'Données projet'!$E$9+1,1))</f>
        <v>295.83974441964551</v>
      </c>
      <c r="T38" s="62">
        <f t="shared" si="34"/>
        <v>212.24900914818096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23</v>
      </c>
      <c r="W38" s="17">
        <f>IF(ISNA(VLOOKUP(A38,'Données projet'!$A$35:$I$55,5,0)),0%,VLOOKUP(A38,'Données projet'!$A$35:$I$55,5,0)*VLOOKUP('Données projet'!$B$9,Paramètres!$A$1:$I$89,7,0))</f>
        <v>0.1125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0.75</v>
      </c>
      <c r="Z38" s="23">
        <f>EXP(-LN(2)/35)*Z37+(1-EXP(-LN(2)/35))/(LN(2)/35)*V38*W38*VLOOKUP('Données projet'!$B$9,Paramètres!$A$1:$I$89,3,0)*0.475*44/12</f>
        <v>2.0526263460129868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12.457534192516921</v>
      </c>
      <c r="AC38" s="24">
        <f t="shared" si="3"/>
        <v>14.510160538529908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559</v>
      </c>
      <c r="AG38" s="13">
        <f>VLOOKUP(A38,'Données projet'!$A$61:$I$81,9,0)</f>
        <v>24.6</v>
      </c>
      <c r="AH38" s="13">
        <f t="array" ref="AH38">INDEX(AG:AG,MIN(IF(ISNUMBER(AG38:AG234),ROW(AG38:AG234),"")))</f>
        <v>24.6</v>
      </c>
      <c r="AI38" s="14">
        <f>IF('Données projet'!$A$62&gt;35,AI37+AH38-AQ37,IF(A38&lt;'Données projet'!$A$62,$AF$205^A38,IF(A38='Données projet'!$A$62,'Données projet'!$B$62,AI37+AH38-AQ37)))</f>
        <v>559.00000000000023</v>
      </c>
      <c r="AJ38" s="14">
        <f>AI38*VLOOKUP('Données projet'!$B$10,Paramètres!$A$1:$I$89,3,0)*VLOOKUP('Données projet'!$B$10,Paramètres!$A$1:$I$89,5,0)</f>
        <v>312.48100000000011</v>
      </c>
      <c r="AK38" s="14">
        <f t="shared" si="35"/>
        <v>73.786721094721486</v>
      </c>
      <c r="AL38" s="22">
        <f t="shared" si="4"/>
        <v>672.74961423997343</v>
      </c>
      <c r="AM38" s="62">
        <f t="shared" si="5"/>
        <v>966.08294757330668</v>
      </c>
      <c r="AN38" s="62">
        <f ca="1">AVERAGE(OFFSET($AM$3,0,0,'Données projet'!$E$10+1,1))-AVERAGE(OFFSET($H$3,0,0,'Données projet'!$E$10+1,1))</f>
        <v>512.21337090113502</v>
      </c>
      <c r="AO38" s="62">
        <f t="shared" si="36"/>
        <v>621.03633124474163</v>
      </c>
      <c r="AP38" s="16">
        <f>IF(ISNA(VLOOKUP(A38,'Données projet'!$A$61:$I$81,3,0)),0,VLOOKUP(A38,'Données projet'!$A$61:$I$81,3,0))</f>
        <v>5</v>
      </c>
      <c r="AQ38" s="16">
        <f>IF(ISNA(VLOOKUP(A38,'Données projet'!$A$61:$I$81,4,0)),0,VLOOKUP(A38,'Données projet'!$A$61:$I$81,4,0))</f>
        <v>61</v>
      </c>
      <c r="AR38" s="17">
        <f>IF(ISNA(VLOOKUP(A38,'Données projet'!$A$61:$I$81,5,0)),0%,VLOOKUP(A38,'Données projet'!$A$61:$I$81,5,0)*VLOOKUP('Données projet'!$B$10,Paramètres!$A$1:$I$89,7,0))</f>
        <v>0.1925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0.65</v>
      </c>
      <c r="AU38" s="23">
        <f>EXP(-LN(2)/35)*AU37+(1-EXP(-LN(2)/35))/(LN(2)/35)*AQ38*AR38*VLOOKUP('Données projet'!$B$10,Paramètres!$A$1:$I$89,3,0)*0.475*44/12</f>
        <v>13.84307127567941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29.330733655124774</v>
      </c>
      <c r="AX38" s="23">
        <f t="shared" si="6"/>
        <v>43.173804930804181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201</v>
      </c>
      <c r="BB38" s="13">
        <f>VLOOKUP(A38,'Données projet'!$A$87:$I$107,9,0)</f>
        <v>12.2</v>
      </c>
      <c r="BC38" s="13">
        <f t="array" ref="BC38">INDEX(BB:BB,MIN(IF(ISNUMBER(BB38:BB234),ROW(BB38:BB234),"")))</f>
        <v>12.2</v>
      </c>
      <c r="BD38" s="13">
        <f>IF('Données projet'!$A$88&gt;35,BD37+BC38-BL37,IF(A38&lt;'Données projet'!$A$88,$BA$205^A38,IF(A38='Données projet'!$A$88,'Données projet'!$B$88,BD37+BC38-BL37)))</f>
        <v>200.99999999999997</v>
      </c>
      <c r="BE38" s="14">
        <f>BD38*VLOOKUP('Données projet'!$B$11,Paramètres!$A$1:$I$89,3,0)*VLOOKUP('Données projet'!$B$11,Paramètres!$A$1:$I$89,5,0)</f>
        <v>175.59359999999998</v>
      </c>
      <c r="BF38" s="14">
        <f t="shared" si="37"/>
        <v>44.340433728638573</v>
      </c>
      <c r="BG38" s="22">
        <f t="shared" si="7"/>
        <v>383.05177541071208</v>
      </c>
      <c r="BH38" s="62">
        <f t="shared" si="8"/>
        <v>676.3851087440454</v>
      </c>
      <c r="BI38" s="62">
        <f ca="1">AVERAGE(OFFSET($BH$3,0,0,'Données projet'!$E$11+1,1))-AVERAGE(OFFSET($H$3,0,0,'Données projet'!$E$11+1,1))</f>
        <v>321.23599968992932</v>
      </c>
      <c r="BJ38" s="62">
        <f t="shared" si="38"/>
        <v>388.05195847800502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42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12.4</v>
      </c>
      <c r="N39" s="14">
        <f>IF('Données projet'!$A$36&gt;35,N38+M39-V38,IF(A39&lt;'Données projet'!$A$36,$K$205^A39,IF(A39='Données projet'!$A$36,'Données projet'!$B$36,N38+M39-V38)))</f>
        <v>158.4</v>
      </c>
      <c r="O39" s="14">
        <f>N39*VLOOKUP('Données projet'!$B$9,Paramètres!$A$1:$I$89,3,0)*VLOOKUP('Données projet'!$B$9,Paramètres!$A$1:$I$89,5,0)</f>
        <v>94.723200000000006</v>
      </c>
      <c r="P39" s="14">
        <f t="shared" si="33"/>
        <v>25.700933959119112</v>
      </c>
      <c r="Q39" s="22">
        <f t="shared" si="53"/>
        <v>209.7386999787991</v>
      </c>
      <c r="R39" s="62">
        <f t="shared" si="0"/>
        <v>503.07203331213242</v>
      </c>
      <c r="S39" s="62">
        <f ca="1">AVERAGE(OFFSET($R$3,0,0,'Données projet'!$E$9+1,1))-AVERAGE(OFFSET($H$3,0,0,'Données projet'!$E$9+1,1))</f>
        <v>295.83974441964551</v>
      </c>
      <c r="T39" s="62">
        <f t="shared" si="34"/>
        <v>212.24900914818096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2.0123755953461204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8.8088069043919965</v>
      </c>
      <c r="AC39" s="24">
        <f t="shared" si="3"/>
        <v>10.821182499738118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21.8</v>
      </c>
      <c r="AI39" s="14">
        <f>IF('Données projet'!$A$62&gt;35,AI38+AH39-AQ38,IF(A39&lt;'Données projet'!$A$62,$AF$205^A39,IF(A39='Données projet'!$A$62,'Données projet'!$B$62,AI38+AH39-AQ38)))</f>
        <v>519.80000000000018</v>
      </c>
      <c r="AJ39" s="14">
        <f>AI39*VLOOKUP('Données projet'!$B$10,Paramètres!$A$1:$I$89,3,0)*VLOOKUP('Données projet'!$B$10,Paramètres!$A$1:$I$89,5,0)</f>
        <v>290.5682000000001</v>
      </c>
      <c r="AK39" s="14">
        <f t="shared" si="35"/>
        <v>69.195534926178652</v>
      </c>
      <c r="AL39" s="22">
        <f t="shared" si="4"/>
        <v>626.58850499642801</v>
      </c>
      <c r="AM39" s="62">
        <f t="shared" si="5"/>
        <v>919.92183832976139</v>
      </c>
      <c r="AN39" s="62">
        <f ca="1">AVERAGE(OFFSET($AM$3,0,0,'Données projet'!$E$10+1,1))-AVERAGE(OFFSET($H$3,0,0,'Données projet'!$E$10+1,1))</f>
        <v>512.21337090113502</v>
      </c>
      <c r="AO39" s="62">
        <f t="shared" si="36"/>
        <v>621.03633124474163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13.571617091403095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20.73996066471522</v>
      </c>
      <c r="AX39" s="23">
        <f t="shared" si="6"/>
        <v>34.311577756118311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10.8</v>
      </c>
      <c r="BD39" s="13">
        <f>IF('Données projet'!$A$88&gt;35,BD38+BC39-BL38,IF(A39&lt;'Données projet'!$A$88,$BA$205^A39,IF(A39='Données projet'!$A$88,'Données projet'!$B$88,BD38+BC39-BL38)))</f>
        <v>169.79999999999998</v>
      </c>
      <c r="BE39" s="14">
        <f>BD39*VLOOKUP('Données projet'!$B$11,Paramètres!$A$1:$I$89,3,0)*VLOOKUP('Données projet'!$B$11,Paramètres!$A$1:$I$89,5,0)</f>
        <v>148.33727999999999</v>
      </c>
      <c r="BF39" s="14">
        <f t="shared" si="37"/>
        <v>38.200481752654802</v>
      </c>
      <c r="BG39" s="22">
        <f t="shared" si="7"/>
        <v>324.88660171920714</v>
      </c>
      <c r="BH39" s="62">
        <f t="shared" si="8"/>
        <v>618.21993505254045</v>
      </c>
      <c r="BI39" s="62">
        <f ca="1">AVERAGE(OFFSET($BH$3,0,0,'Données projet'!$E$11+1,1))-AVERAGE(OFFSET($H$3,0,0,'Données projet'!$E$11+1,1))</f>
        <v>321.23599968992932</v>
      </c>
      <c r="BJ39" s="62">
        <f t="shared" si="38"/>
        <v>388.05195847800502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12.4</v>
      </c>
      <c r="N40" s="14">
        <f>IF('Données projet'!$A$36&gt;35,N39+M40-V39,IF(A40&lt;'Données projet'!$A$36,$K$205^A40,IF(A40='Données projet'!$A$36,'Données projet'!$B$36,N39+M40-V39)))</f>
        <v>170.8</v>
      </c>
      <c r="O40" s="14">
        <f>N40*VLOOKUP('Données projet'!$B$9,Paramètres!$A$1:$I$89,3,0)*VLOOKUP('Données projet'!$B$9,Paramètres!$A$1:$I$89,5,0)</f>
        <v>102.13840000000002</v>
      </c>
      <c r="P40" s="14">
        <f t="shared" si="33"/>
        <v>27.470812821300004</v>
      </c>
      <c r="Q40" s="22">
        <f t="shared" si="53"/>
        <v>225.7360456637642</v>
      </c>
      <c r="R40" s="62">
        <f t="shared" si="0"/>
        <v>519.06937899709749</v>
      </c>
      <c r="S40" s="62">
        <f ca="1">AVERAGE(OFFSET($R$3,0,0,'Données projet'!$E$9+1,1))-AVERAGE(OFFSET($H$3,0,0,'Données projet'!$E$9+1,1))</f>
        <v>295.83974441964551</v>
      </c>
      <c r="T40" s="62">
        <f t="shared" si="34"/>
        <v>212.24900914818096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1.9729141373492978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6.2287670962584611</v>
      </c>
      <c r="AC40" s="24">
        <f t="shared" si="3"/>
        <v>8.2016812336077596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21.8</v>
      </c>
      <c r="AI40" s="14">
        <f>IF('Données projet'!$A$62&gt;35,AI39+AH40-AQ39,IF(A40&lt;'Données projet'!$A$62,$AF$205^A40,IF(A40='Données projet'!$A$62,'Données projet'!$B$62,AI39+AH40-AQ39)))</f>
        <v>541.60000000000014</v>
      </c>
      <c r="AJ40" s="14">
        <f>AI40*VLOOKUP('Données projet'!$B$10,Paramètres!$A$1:$I$89,3,0)*VLOOKUP('Données projet'!$B$10,Paramètres!$A$1:$I$89,5,0)</f>
        <v>302.75440000000009</v>
      </c>
      <c r="AK40" s="14">
        <f t="shared" si="35"/>
        <v>71.753584011735882</v>
      </c>
      <c r="AL40" s="22">
        <f t="shared" si="4"/>
        <v>652.26807215377346</v>
      </c>
      <c r="AM40" s="62">
        <f t="shared" si="5"/>
        <v>945.60140548710683</v>
      </c>
      <c r="AN40" s="62">
        <f ca="1">AVERAGE(OFFSET($AM$3,0,0,'Données projet'!$E$10+1,1))-AVERAGE(OFFSET($H$3,0,0,'Données projet'!$E$10+1,1))</f>
        <v>512.21337090113502</v>
      </c>
      <c r="AO40" s="62">
        <f t="shared" si="36"/>
        <v>621.03633124474163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13.305485958109735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14.665366827562389</v>
      </c>
      <c r="AX40" s="23">
        <f t="shared" si="6"/>
        <v>27.970852785672122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10.8</v>
      </c>
      <c r="BD40" s="13">
        <f>IF('Données projet'!$A$88&gt;35,BD39+BC40-BL39,IF(A40&lt;'Données projet'!$A$88,$BA$205^A40,IF(A40='Données projet'!$A$88,'Données projet'!$B$88,BD39+BC40-BL39)))</f>
        <v>180.6</v>
      </c>
      <c r="BE40" s="14">
        <f>BD40*VLOOKUP('Données projet'!$B$11,Paramètres!$A$1:$I$89,3,0)*VLOOKUP('Données projet'!$B$11,Paramètres!$A$1:$I$89,5,0)</f>
        <v>157.77216000000001</v>
      </c>
      <c r="BF40" s="14">
        <f t="shared" si="37"/>
        <v>40.339610539653599</v>
      </c>
      <c r="BG40" s="22">
        <f t="shared" si="7"/>
        <v>345.04466702323003</v>
      </c>
      <c r="BH40" s="62">
        <f t="shared" si="8"/>
        <v>638.37800035656335</v>
      </c>
      <c r="BI40" s="62">
        <f ca="1">AVERAGE(OFFSET($BH$3,0,0,'Données projet'!$E$11+1,1))-AVERAGE(OFFSET($H$3,0,0,'Données projet'!$E$11+1,1))</f>
        <v>321.23599968992932</v>
      </c>
      <c r="BJ40" s="62">
        <f t="shared" si="38"/>
        <v>388.05195847800502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12.4</v>
      </c>
      <c r="N41" s="14">
        <f>IF('Données projet'!$A$36&gt;35,N40+M41-V40,IF(A41&lt;'Données projet'!$A$36,$K$205^A41,IF(A41='Données projet'!$A$36,'Données projet'!$B$36,N40+M41-V40)))</f>
        <v>183.20000000000002</v>
      </c>
      <c r="O41" s="14">
        <f>N41*VLOOKUP('Données projet'!$B$9,Paramètres!$A$1:$I$89,3,0)*VLOOKUP('Données projet'!$B$9,Paramètres!$A$1:$I$89,5,0)</f>
        <v>109.55360000000002</v>
      </c>
      <c r="P41" s="14">
        <f t="shared" si="33"/>
        <v>29.225784372214765</v>
      </c>
      <c r="Q41" s="22">
        <f t="shared" si="53"/>
        <v>241.70742778160744</v>
      </c>
      <c r="R41" s="62">
        <f t="shared" si="0"/>
        <v>535.04076111494078</v>
      </c>
      <c r="S41" s="62">
        <f ca="1">AVERAGE(OFFSET($R$3,0,0,'Données projet'!$E$9+1,1))-AVERAGE(OFFSET($H$3,0,0,'Données projet'!$E$9+1,1))</f>
        <v>295.83974441964551</v>
      </c>
      <c r="T41" s="62">
        <f t="shared" si="34"/>
        <v>212.24900914818096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1.9342264944746801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4.4044034521959992</v>
      </c>
      <c r="AC41" s="24">
        <f t="shared" si="3"/>
        <v>6.3386299466706788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21.8</v>
      </c>
      <c r="AI41" s="14">
        <f>IF('Données projet'!$A$62&gt;35,AI40+AH41-AQ40,IF(A41&lt;'Données projet'!$A$62,$AF$205^A41,IF(A41='Données projet'!$A$62,'Données projet'!$B$62,AI40+AH41-AQ40)))</f>
        <v>563.40000000000009</v>
      </c>
      <c r="AJ41" s="14">
        <f>AI41*VLOOKUP('Données projet'!$B$10,Paramètres!$A$1:$I$89,3,0)*VLOOKUP('Données projet'!$B$10,Paramètres!$A$1:$I$89,5,0)</f>
        <v>314.94060000000007</v>
      </c>
      <c r="AK41" s="14">
        <f t="shared" si="35"/>
        <v>74.299672673282714</v>
      </c>
      <c r="AL41" s="22">
        <f t="shared" si="4"/>
        <v>677.92680823930084</v>
      </c>
      <c r="AM41" s="62">
        <f t="shared" si="5"/>
        <v>971.26014157263421</v>
      </c>
      <c r="AN41" s="62">
        <f ca="1">AVERAGE(OFFSET($AM$3,0,0,'Données projet'!$E$10+1,1))-AVERAGE(OFFSET($H$3,0,0,'Données projet'!$E$10+1,1))</f>
        <v>512.21337090113502</v>
      </c>
      <c r="AO41" s="62">
        <f t="shared" si="36"/>
        <v>621.03633124474163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13.044573494016294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10.369980332357612</v>
      </c>
      <c r="AX41" s="23">
        <f t="shared" si="6"/>
        <v>23.414553826373904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10.8</v>
      </c>
      <c r="BD41" s="13">
        <f>IF('Données projet'!$A$88&gt;35,BD40+BC41-BL40,IF(A41&lt;'Données projet'!$A$88,$BA$205^A41,IF(A41='Données projet'!$A$88,'Données projet'!$B$88,BD40+BC41-BL40)))</f>
        <v>191.4</v>
      </c>
      <c r="BE41" s="14">
        <f>BD41*VLOOKUP('Données projet'!$B$11,Paramètres!$A$1:$I$89,3,0)*VLOOKUP('Données projet'!$B$11,Paramètres!$A$1:$I$89,5,0)</f>
        <v>167.20704000000003</v>
      </c>
      <c r="BF41" s="14">
        <f t="shared" si="37"/>
        <v>42.463891647822834</v>
      </c>
      <c r="BG41" s="22">
        <f t="shared" si="7"/>
        <v>365.17687261995815</v>
      </c>
      <c r="BH41" s="62">
        <f t="shared" si="8"/>
        <v>658.51020595329146</v>
      </c>
      <c r="BI41" s="62">
        <f ca="1">AVERAGE(OFFSET($BH$3,0,0,'Données projet'!$E$11+1,1))-AVERAGE(OFFSET($H$3,0,0,'Données projet'!$E$11+1,1))</f>
        <v>321.23599968992932</v>
      </c>
      <c r="BJ41" s="62">
        <f t="shared" si="38"/>
        <v>388.05195847800502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12.4</v>
      </c>
      <c r="N42" s="14">
        <f>IF('Données projet'!$A$36&gt;35,N41+M42-V41,IF(A42&lt;'Données projet'!$A$36,$K$205^A42,IF(A42='Données projet'!$A$36,'Données projet'!$B$36,N41+M42-V41)))</f>
        <v>195.60000000000002</v>
      </c>
      <c r="O42" s="14">
        <f>N42*VLOOKUP('Données projet'!$B$9,Paramètres!$A$1:$I$89,3,0)*VLOOKUP('Données projet'!$B$9,Paramètres!$A$1:$I$89,5,0)</f>
        <v>116.96880000000002</v>
      </c>
      <c r="P42" s="14">
        <f t="shared" si="33"/>
        <v>30.966972418998537</v>
      </c>
      <c r="Q42" s="22">
        <f t="shared" si="53"/>
        <v>257.6548036297558</v>
      </c>
      <c r="R42" s="62">
        <f t="shared" si="0"/>
        <v>550.98813696308912</v>
      </c>
      <c r="S42" s="62">
        <f ca="1">AVERAGE(OFFSET($R$3,0,0,'Données projet'!$E$9+1,1))-AVERAGE(OFFSET($H$3,0,0,'Données projet'!$E$9+1,1))</f>
        <v>295.83974441964551</v>
      </c>
      <c r="T42" s="62">
        <f t="shared" si="34"/>
        <v>212.24900914818096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1.8962974926797014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3.114383548129231</v>
      </c>
      <c r="AC42" s="24">
        <f t="shared" si="3"/>
        <v>5.0106810408089322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21.8</v>
      </c>
      <c r="AI42" s="14">
        <f>IF('Données projet'!$A$62&gt;35,AI41+AH42-AQ41,IF(A42&lt;'Données projet'!$A$62,$AF$205^A42,IF(A42='Données projet'!$A$62,'Données projet'!$B$62,AI41+AH42-AQ41)))</f>
        <v>585.20000000000005</v>
      </c>
      <c r="AJ42" s="14">
        <f>AI42*VLOOKUP('Données projet'!$B$10,Paramètres!$A$1:$I$89,3,0)*VLOOKUP('Données projet'!$B$10,Paramètres!$A$1:$I$89,5,0)</f>
        <v>327.12680000000006</v>
      </c>
      <c r="AK42" s="14">
        <f t="shared" si="35"/>
        <v>76.834316672603649</v>
      </c>
      <c r="AL42" s="22">
        <f t="shared" si="4"/>
        <v>703.56561153811811</v>
      </c>
      <c r="AM42" s="62">
        <f t="shared" si="5"/>
        <v>996.89894487145148</v>
      </c>
      <c r="AN42" s="62">
        <f ca="1">AVERAGE(OFFSET($AM$3,0,0,'Données projet'!$E$10+1,1))-AVERAGE(OFFSET($H$3,0,0,'Données projet'!$E$10+1,1))</f>
        <v>512.21337090113502</v>
      </c>
      <c r="AO42" s="62">
        <f t="shared" si="36"/>
        <v>621.03633124474163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12.788777364202836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7.3326834137811954</v>
      </c>
      <c r="AX42" s="23">
        <f t="shared" si="6"/>
        <v>20.121460777984034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10.8</v>
      </c>
      <c r="BD42" s="13">
        <f>IF('Données projet'!$A$88&gt;35,BD41+BC42-BL41,IF(A42&lt;'Données projet'!$A$88,$BA$205^A42,IF(A42='Données projet'!$A$88,'Données projet'!$B$88,BD41+BC42-BL41)))</f>
        <v>202.20000000000002</v>
      </c>
      <c r="BE42" s="14">
        <f>BD42*VLOOKUP('Données projet'!$B$11,Paramètres!$A$1:$I$89,3,0)*VLOOKUP('Données projet'!$B$11,Paramètres!$A$1:$I$89,5,0)</f>
        <v>176.64192000000003</v>
      </c>
      <c r="BF42" s="14">
        <f t="shared" si="37"/>
        <v>44.574258350008236</v>
      </c>
      <c r="BG42" s="22">
        <f t="shared" si="7"/>
        <v>385.28484395959771</v>
      </c>
      <c r="BH42" s="62">
        <f t="shared" si="8"/>
        <v>678.61817729293102</v>
      </c>
      <c r="BI42" s="62">
        <f ca="1">AVERAGE(OFFSET($BH$3,0,0,'Données projet'!$E$11+1,1))-AVERAGE(OFFSET($H$3,0,0,'Données projet'!$E$11+1,1))</f>
        <v>321.23599968992932</v>
      </c>
      <c r="BJ42" s="62">
        <f t="shared" si="38"/>
        <v>388.05195847800502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208</v>
      </c>
      <c r="L43" s="13">
        <f>VLOOKUP(A43,'Données projet'!$A$35:$I$55,9,0)</f>
        <v>12.4</v>
      </c>
      <c r="M43" s="13">
        <f t="array" ref="M43">INDEX(L:L,MIN(IF(ISNUMBER(L43:L239),ROW(L43:L239),"")))</f>
        <v>12.4</v>
      </c>
      <c r="N43" s="14">
        <f>IF('Données projet'!$A$36&gt;35,N42+M43-V42,IF(A43&lt;'Données projet'!$A$36,$K$205^A43,IF(A43='Données projet'!$A$36,'Données projet'!$B$36,N42+M43-V42)))</f>
        <v>208.00000000000003</v>
      </c>
      <c r="O43" s="14">
        <f>N43*VLOOKUP('Données projet'!$B$9,Paramètres!$A$1:$I$89,3,0)*VLOOKUP('Données projet'!$B$9,Paramètres!$A$1:$I$89,5,0)</f>
        <v>124.38400000000003</v>
      </c>
      <c r="P43" s="14">
        <f t="shared" si="33"/>
        <v>32.695350227217695</v>
      </c>
      <c r="Q43" s="22">
        <f t="shared" si="53"/>
        <v>273.57986831240419</v>
      </c>
      <c r="R43" s="62">
        <f t="shared" si="0"/>
        <v>566.91320164573744</v>
      </c>
      <c r="S43" s="62">
        <f ca="1">AVERAGE(OFFSET($R$3,0,0,'Données projet'!$E$9+1,1))-AVERAGE(OFFSET($H$3,0,0,'Données projet'!$E$9+1,1))</f>
        <v>295.83974441964551</v>
      </c>
      <c r="T43" s="62">
        <f t="shared" si="34"/>
        <v>212.24900914818096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34</v>
      </c>
      <c r="W43" s="17">
        <f>IF(ISNA(VLOOKUP(A43,'Données projet'!$A$35:$I$55,5,0)),0%,VLOOKUP(A43,'Données projet'!$A$35:$I$55,5,0)*VLOOKUP('Données projet'!$B$9,Paramètres!$A$1:$I$89,7,0))</f>
        <v>0.1575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0.65</v>
      </c>
      <c r="Z43" s="23">
        <f>EXP(-LN(2)/35)*Z42+(1-EXP(-LN(2)/35))/(LN(2)/35)*V43*W43*VLOOKUP('Données projet'!$B$9,Paramètres!$A$1:$I$89,3,0)*0.475*44/12</f>
        <v>6.1071563454850004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17.165557323748271</v>
      </c>
      <c r="AC43" s="24">
        <f t="shared" si="3"/>
        <v>23.272713669233269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607</v>
      </c>
      <c r="AG43" s="13">
        <f>VLOOKUP(A43,'Données projet'!$A$61:$I$81,9,0)</f>
        <v>21.8</v>
      </c>
      <c r="AH43" s="13">
        <f t="array" ref="AH43">INDEX(AG:AG,MIN(IF(ISNUMBER(AG43:AG239),ROW(AG43:AG239),"")))</f>
        <v>21.8</v>
      </c>
      <c r="AI43" s="14">
        <f>IF('Données projet'!$A$62&gt;35,AI42+AH43-AQ42,IF(A43&lt;'Données projet'!$A$62,$AF$205^A43,IF(A43='Données projet'!$A$62,'Données projet'!$B$62,AI42+AH43-AQ42)))</f>
        <v>607</v>
      </c>
      <c r="AJ43" s="14">
        <f>AI43*VLOOKUP('Données projet'!$B$10,Paramètres!$A$1:$I$89,3,0)*VLOOKUP('Données projet'!$B$10,Paramètres!$A$1:$I$89,5,0)</f>
        <v>339.31299999999999</v>
      </c>
      <c r="AK43" s="14">
        <f t="shared" si="35"/>
        <v>79.357991167872044</v>
      </c>
      <c r="AL43" s="22">
        <f t="shared" si="4"/>
        <v>729.18530961737713</v>
      </c>
      <c r="AM43" s="62">
        <f t="shared" si="5"/>
        <v>1022.5186429507105</v>
      </c>
      <c r="AN43" s="62">
        <f ca="1">AVERAGE(OFFSET($AM$3,0,0,'Données projet'!$E$10+1,1))-AVERAGE(OFFSET($H$3,0,0,'Données projet'!$E$10+1,1))</f>
        <v>512.21337090113502</v>
      </c>
      <c r="AO43" s="62">
        <f t="shared" si="36"/>
        <v>621.03633124474163</v>
      </c>
      <c r="AP43" s="16">
        <f>IF(ISNA(VLOOKUP(A43,'Données projet'!$A$61:$I$81,3,0)),0,VLOOKUP(A43,'Données projet'!$A$61:$I$81,3,0))</f>
        <v>6</v>
      </c>
      <c r="AQ43" s="16">
        <f>IF(ISNA(VLOOKUP(A43,'Données projet'!$A$61:$I$81,4,0)),0,VLOOKUP(A43,'Données projet'!$A$61:$I$81,4,0))</f>
        <v>64</v>
      </c>
      <c r="AR43" s="17">
        <f>IF(ISNA(VLOOKUP(A43,'Données projet'!$A$61:$I$81,5,0)),0%,VLOOKUP(A43,'Données projet'!$A$61:$I$81,5,0)*VLOOKUP('Données projet'!$B$10,Paramètres!$A$1:$I$89,7,0))</f>
        <v>0.24750000000000003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0.55000000000000004</v>
      </c>
      <c r="AU43" s="23">
        <f>EXP(-LN(2)/35)*AU42+(1-EXP(-LN(2)/35))/(LN(2)/35)*AQ43*AR43*VLOOKUP('Données projet'!$B$10,Paramètres!$A$1:$I$89,3,0)*0.475*44/12</f>
        <v>24.284141805031524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27.463698638147573</v>
      </c>
      <c r="AX43" s="23">
        <f t="shared" si="6"/>
        <v>51.747840443179101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213</v>
      </c>
      <c r="BB43" s="13">
        <f>VLOOKUP(A43,'Données projet'!$A$87:$I$107,9,0)</f>
        <v>10.8</v>
      </c>
      <c r="BC43" s="13">
        <f t="array" ref="BC43">INDEX(BB:BB,MIN(IF(ISNUMBER(BB43:BB239),ROW(BB43:BB239),"")))</f>
        <v>10.8</v>
      </c>
      <c r="BD43" s="13">
        <f>IF('Données projet'!$A$88&gt;35,BD42+BC43-BL42,IF(A43&lt;'Données projet'!$A$88,$BA$205^A43,IF(A43='Données projet'!$A$88,'Données projet'!$B$88,BD42+BC43-BL42)))</f>
        <v>213.00000000000003</v>
      </c>
      <c r="BE43" s="14">
        <f>BD43*VLOOKUP('Données projet'!$B$11,Paramètres!$A$1:$I$89,3,0)*VLOOKUP('Données projet'!$B$11,Paramètres!$A$1:$I$89,5,0)</f>
        <v>186.07680000000005</v>
      </c>
      <c r="BF43" s="14">
        <f t="shared" si="37"/>
        <v>46.671538591528673</v>
      </c>
      <c r="BG43" s="22">
        <f t="shared" si="7"/>
        <v>405.37002304691242</v>
      </c>
      <c r="BH43" s="62">
        <f t="shared" si="8"/>
        <v>698.70335638024574</v>
      </c>
      <c r="BI43" s="62">
        <f ca="1">AVERAGE(OFFSET($BH$3,0,0,'Données projet'!$E$11+1,1))-AVERAGE(OFFSET($H$3,0,0,'Données projet'!$E$11+1,1))</f>
        <v>321.23599968992932</v>
      </c>
      <c r="BJ43" s="62">
        <f t="shared" si="38"/>
        <v>388.05195847800502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39</v>
      </c>
      <c r="BM43" s="17">
        <f>IF(ISNA(VLOOKUP(A43,'Données projet'!$A$87:$I$107,5,0)),0%,VLOOKUP(A43,'Données projet'!$A$87:$I$107,5,0)*VLOOKUP('Données projet'!$B$11,Paramètres!$A$1:$I$89,7,0))</f>
        <v>8.6000000000000007E-2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3.2390883496201912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3.2390883496201912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14.1</v>
      </c>
      <c r="N44" s="14">
        <f>IF('Données projet'!$A$36&gt;35,N43+M44-V43,IF(A44&lt;'Données projet'!$A$36,$K$205^A44,IF(A44='Données projet'!$A$36,'Données projet'!$B$36,N43+M44-V43)))</f>
        <v>188.10000000000002</v>
      </c>
      <c r="O44" s="14">
        <f>N44*VLOOKUP('Données projet'!$B$9,Paramètres!$A$1:$I$89,3,0)*VLOOKUP('Données projet'!$B$9,Paramètres!$A$1:$I$89,5,0)</f>
        <v>112.48380000000002</v>
      </c>
      <c r="P44" s="14">
        <f t="shared" si="33"/>
        <v>29.915424563902814</v>
      </c>
      <c r="Q44" s="22">
        <f t="shared" si="53"/>
        <v>248.01198278213079</v>
      </c>
      <c r="R44" s="62">
        <f t="shared" si="0"/>
        <v>541.34531611546413</v>
      </c>
      <c r="S44" s="62">
        <f ca="1">AVERAGE(OFFSET($R$3,0,0,'Données projet'!$E$9+1,1))-AVERAGE(OFFSET($H$3,0,0,'Données projet'!$E$9+1,1))</f>
        <v>295.83974441964551</v>
      </c>
      <c r="T44" s="62">
        <f t="shared" si="34"/>
        <v>212.24900914818096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5.9873987345475976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12.137881986468807</v>
      </c>
      <c r="AC44" s="24">
        <f t="shared" si="3"/>
        <v>18.125280721016406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19.8</v>
      </c>
      <c r="AI44" s="14">
        <f>IF('Données projet'!$A$62&gt;35,AI43+AH44-AQ43,IF(A44&lt;'Données projet'!$A$62,$AF$205^A44,IF(A44='Données projet'!$A$62,'Données projet'!$B$62,AI43+AH44-AQ43)))</f>
        <v>562.79999999999995</v>
      </c>
      <c r="AJ44" s="14">
        <f>AI44*VLOOKUP('Données projet'!$B$10,Paramètres!$A$1:$I$89,3,0)*VLOOKUP('Données projet'!$B$10,Paramètres!$A$1:$I$89,5,0)</f>
        <v>314.60520000000002</v>
      </c>
      <c r="AK44" s="14">
        <f t="shared" si="35"/>
        <v>74.229752266996258</v>
      </c>
      <c r="AL44" s="22">
        <f t="shared" si="4"/>
        <v>677.22087519835191</v>
      </c>
      <c r="AM44" s="62">
        <f t="shared" si="5"/>
        <v>970.55420853168516</v>
      </c>
      <c r="AN44" s="62">
        <f ca="1">AVERAGE(OFFSET($AM$3,0,0,'Données projet'!$E$10+1,1))-AVERAGE(OFFSET($H$3,0,0,'Données projet'!$E$10+1,1))</f>
        <v>512.21337090113502</v>
      </c>
      <c r="AO44" s="62">
        <f t="shared" si="36"/>
        <v>621.03633124474163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23.807944596098807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19.419767543497901</v>
      </c>
      <c r="AX44" s="23">
        <f t="shared" si="6"/>
        <v>43.227712139596704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9.8000000000000007</v>
      </c>
      <c r="BD44" s="13">
        <f>IF('Données projet'!$A$88&gt;35,BD43+BC44-BL43,IF(A44&lt;'Données projet'!$A$88,$BA$205^A44,IF(A44='Données projet'!$A$88,'Données projet'!$B$88,BD43+BC44-BL43)))</f>
        <v>183.80000000000004</v>
      </c>
      <c r="BE44" s="14">
        <f>BD44*VLOOKUP('Données projet'!$B$11,Paramètres!$A$1:$I$89,3,0)*VLOOKUP('Données projet'!$B$11,Paramètres!$A$1:$I$89,5,0)</f>
        <v>160.56768000000005</v>
      </c>
      <c r="BF44" s="14">
        <f t="shared" si="37"/>
        <v>40.970530810309882</v>
      </c>
      <c r="BG44" s="22">
        <f t="shared" si="7"/>
        <v>351.0123838279564</v>
      </c>
      <c r="BH44" s="62">
        <f t="shared" si="8"/>
        <v>644.34571716128971</v>
      </c>
      <c r="BI44" s="62">
        <f ca="1">AVERAGE(OFFSET($BH$3,0,0,'Données projet'!$E$11+1,1))-AVERAGE(OFFSET($H$3,0,0,'Données projet'!$E$11+1,1))</f>
        <v>321.23599968992932</v>
      </c>
      <c r="BJ44" s="62">
        <f t="shared" si="38"/>
        <v>388.05195847800502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3.1755718027329536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3.1755718027329536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14.1</v>
      </c>
      <c r="N45" s="14">
        <f>IF('Données projet'!$A$36&gt;35,N44+M45-V44,IF(A45&lt;'Données projet'!$A$36,$K$205^A45,IF(A45='Données projet'!$A$36,'Données projet'!$B$36,N44+M45-V44)))</f>
        <v>202.20000000000002</v>
      </c>
      <c r="O45" s="14">
        <f>N45*VLOOKUP('Données projet'!$B$9,Paramètres!$A$1:$I$89,3,0)*VLOOKUP('Données projet'!$B$9,Paramètres!$A$1:$I$89,5,0)</f>
        <v>120.91560000000003</v>
      </c>
      <c r="P45" s="14">
        <f t="shared" si="33"/>
        <v>31.888453396738488</v>
      </c>
      <c r="Q45" s="22">
        <f t="shared" si="53"/>
        <v>266.13372633265288</v>
      </c>
      <c r="R45" s="62">
        <f t="shared" si="0"/>
        <v>559.4670596659862</v>
      </c>
      <c r="S45" s="62">
        <f ca="1">AVERAGE(OFFSET($R$3,0,0,'Données projet'!$E$9+1,1))-AVERAGE(OFFSET($H$3,0,0,'Données projet'!$E$9+1,1))</f>
        <v>295.83974441964551</v>
      </c>
      <c r="T45" s="62">
        <f t="shared" si="34"/>
        <v>212.24900914818096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5.8699894973157472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8.5827786618741371</v>
      </c>
      <c r="AC45" s="24">
        <f t="shared" si="3"/>
        <v>14.452768159189883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19.8</v>
      </c>
      <c r="AI45" s="14">
        <f>IF('Données projet'!$A$62&gt;35,AI44+AH45-AQ44,IF(A45&lt;'Données projet'!$A$62,$AF$205^A45,IF(A45='Données projet'!$A$62,'Données projet'!$B$62,AI44+AH45-AQ44)))</f>
        <v>582.59999999999991</v>
      </c>
      <c r="AJ45" s="14">
        <f>AI45*VLOOKUP('Données projet'!$B$10,Paramètres!$A$1:$I$89,3,0)*VLOOKUP('Données projet'!$B$10,Paramètres!$A$1:$I$89,5,0)</f>
        <v>325.67339999999996</v>
      </c>
      <c r="AK45" s="14">
        <f t="shared" si="35"/>
        <v>76.53260477134495</v>
      </c>
      <c r="AL45" s="22">
        <f t="shared" si="4"/>
        <v>700.50879164342575</v>
      </c>
      <c r="AM45" s="62">
        <f t="shared" si="5"/>
        <v>993.84212497675912</v>
      </c>
      <c r="AN45" s="62">
        <f ca="1">AVERAGE(OFFSET($AM$3,0,0,'Données projet'!$E$10+1,1))-AVERAGE(OFFSET($H$3,0,0,'Données projet'!$E$10+1,1))</f>
        <v>512.21337090113502</v>
      </c>
      <c r="AO45" s="62">
        <f t="shared" si="36"/>
        <v>621.03633124474163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23.341085323981641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13.731849319073788</v>
      </c>
      <c r="AX45" s="23">
        <f t="shared" si="6"/>
        <v>37.072934643055433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9.8000000000000007</v>
      </c>
      <c r="BD45" s="13">
        <f>IF('Données projet'!$A$88&gt;35,BD44+BC45-BL44,IF(A45&lt;'Données projet'!$A$88,$BA$205^A45,IF(A45='Données projet'!$A$88,'Données projet'!$B$88,BD44+BC45-BL44)))</f>
        <v>193.60000000000005</v>
      </c>
      <c r="BE45" s="14">
        <f>BD45*VLOOKUP('Données projet'!$B$11,Paramètres!$A$1:$I$89,3,0)*VLOOKUP('Données projet'!$B$11,Paramètres!$A$1:$I$89,5,0)</f>
        <v>169.12896000000006</v>
      </c>
      <c r="BF45" s="14">
        <f t="shared" si="37"/>
        <v>42.894881315146776</v>
      </c>
      <c r="BG45" s="22">
        <f t="shared" si="7"/>
        <v>369.27485695721407</v>
      </c>
      <c r="BH45" s="62">
        <f t="shared" si="8"/>
        <v>662.60819029054733</v>
      </c>
      <c r="BI45" s="62">
        <f ca="1">AVERAGE(OFFSET($BH$3,0,0,'Données projet'!$E$11+1,1))-AVERAGE(OFFSET($H$3,0,0,'Données projet'!$E$11+1,1))</f>
        <v>321.23599968992932</v>
      </c>
      <c r="BJ45" s="62">
        <f t="shared" si="38"/>
        <v>388.05195847800502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3.1133007765889062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3.1133007765889062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14.1</v>
      </c>
      <c r="N46" s="14">
        <f>IF('Données projet'!$A$36&gt;35,N45+M46-V45,IF(A46&lt;'Données projet'!$A$36,$K$205^A46,IF(A46='Données projet'!$A$36,'Données projet'!$B$36,N45+M46-V45)))</f>
        <v>216.3</v>
      </c>
      <c r="O46" s="14">
        <f>N46*VLOOKUP('Données projet'!$B$9,Paramètres!$A$1:$I$89,3,0)*VLOOKUP('Données projet'!$B$9,Paramètres!$A$1:$I$89,5,0)</f>
        <v>129.34740000000002</v>
      </c>
      <c r="P46" s="14">
        <f t="shared" si="33"/>
        <v>33.845518493267228</v>
      </c>
      <c r="Q46" s="22">
        <f t="shared" si="53"/>
        <v>284.22766637577377</v>
      </c>
      <c r="R46" s="62">
        <f t="shared" si="0"/>
        <v>577.56099970910714</v>
      </c>
      <c r="S46" s="62">
        <f ca="1">AVERAGE(OFFSET($R$3,0,0,'Données projet'!$E$9+1,1))-AVERAGE(OFFSET($H$3,0,0,'Données projet'!$E$9+1,1))</f>
        <v>295.83974441964551</v>
      </c>
      <c r="T46" s="62">
        <f t="shared" si="34"/>
        <v>212.24900914818096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5.7548825836134494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6.0689409932344054</v>
      </c>
      <c r="AC46" s="24">
        <f t="shared" si="3"/>
        <v>11.823823576847854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19.8</v>
      </c>
      <c r="AI46" s="14">
        <f>IF('Données projet'!$A$62&gt;35,AI45+AH46-AQ45,IF(A46&lt;'Données projet'!$A$62,$AF$205^A46,IF(A46='Données projet'!$A$62,'Données projet'!$B$62,AI45+AH46-AQ45)))</f>
        <v>602.39999999999986</v>
      </c>
      <c r="AJ46" s="14">
        <f>AI46*VLOOKUP('Données projet'!$B$10,Paramètres!$A$1:$I$89,3,0)*VLOOKUP('Données projet'!$B$10,Paramètres!$A$1:$I$89,5,0)</f>
        <v>336.74159999999989</v>
      </c>
      <c r="AK46" s="14">
        <f t="shared" si="35"/>
        <v>78.826363517408936</v>
      </c>
      <c r="AL46" s="22">
        <f t="shared" si="4"/>
        <v>723.78086979282034</v>
      </c>
      <c r="AM46" s="62">
        <f t="shared" si="5"/>
        <v>1017.1142031261536</v>
      </c>
      <c r="AN46" s="62">
        <f ca="1">AVERAGE(OFFSET($AM$3,0,0,'Données projet'!$E$10+1,1))-AVERAGE(OFFSET($H$3,0,0,'Données projet'!$E$10+1,1))</f>
        <v>512.21337090113502</v>
      </c>
      <c r="AO46" s="62">
        <f t="shared" si="36"/>
        <v>621.03633124474163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22.883380877434657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9.7098837717489523</v>
      </c>
      <c r="AX46" s="23">
        <f t="shared" si="6"/>
        <v>32.59326464918361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9.8000000000000007</v>
      </c>
      <c r="BD46" s="13">
        <f>IF('Données projet'!$A$88&gt;35,BD45+BC46-BL45,IF(A46&lt;'Données projet'!$A$88,$BA$205^A46,IF(A46='Données projet'!$A$88,'Données projet'!$B$88,BD45+BC46-BL45)))</f>
        <v>203.40000000000006</v>
      </c>
      <c r="BE46" s="14">
        <f>BD46*VLOOKUP('Données projet'!$B$11,Paramètres!$A$1:$I$89,3,0)*VLOOKUP('Données projet'!$B$11,Paramètres!$A$1:$I$89,5,0)</f>
        <v>177.69024000000007</v>
      </c>
      <c r="BF46" s="14">
        <f t="shared" si="37"/>
        <v>44.807921499827692</v>
      </c>
      <c r="BG46" s="22">
        <f t="shared" si="7"/>
        <v>387.5176312788667</v>
      </c>
      <c r="BH46" s="62">
        <f t="shared" si="8"/>
        <v>680.85096461219996</v>
      </c>
      <c r="BI46" s="62">
        <f ca="1">AVERAGE(OFFSET($BH$3,0,0,'Données projet'!$E$11+1,1))-AVERAGE(OFFSET($H$3,0,0,'Données projet'!$E$11+1,1))</f>
        <v>321.23599968992932</v>
      </c>
      <c r="BJ46" s="62">
        <f t="shared" si="38"/>
        <v>388.05195847800502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3.052250847285968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3.052250847285968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14.1</v>
      </c>
      <c r="N47" s="14">
        <f>IF('Données projet'!$A$36&gt;35,N46+M47-V46,IF(A47&lt;'Données projet'!$A$36,$K$205^A47,IF(A47='Données projet'!$A$36,'Données projet'!$B$36,N46+M47-V46)))</f>
        <v>230.4</v>
      </c>
      <c r="O47" s="14">
        <f>N47*VLOOKUP('Données projet'!$B$9,Paramètres!$A$1:$I$89,3,0)*VLOOKUP('Données projet'!$B$9,Paramètres!$A$1:$I$89,5,0)</f>
        <v>137.7792</v>
      </c>
      <c r="P47" s="14">
        <f t="shared" si="33"/>
        <v>35.787778913287674</v>
      </c>
      <c r="Q47" s="22">
        <f t="shared" si="53"/>
        <v>302.29582160730934</v>
      </c>
      <c r="R47" s="62">
        <f t="shared" si="0"/>
        <v>595.62915494064259</v>
      </c>
      <c r="S47" s="62">
        <f ca="1">AVERAGE(OFFSET($R$3,0,0,'Données projet'!$E$9+1,1))-AVERAGE(OFFSET($H$3,0,0,'Données projet'!$E$9+1,1))</f>
        <v>295.83974441964551</v>
      </c>
      <c r="T47" s="62">
        <f t="shared" si="34"/>
        <v>212.24900914818096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5.6420328462805687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4.2913893309370694</v>
      </c>
      <c r="AC47" s="24">
        <f t="shared" si="3"/>
        <v>9.9334221772176381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19.8</v>
      </c>
      <c r="AI47" s="14">
        <f>IF('Données projet'!$A$62&gt;35,AI46+AH47-AQ46,IF(A47&lt;'Données projet'!$A$62,$AF$205^A47,IF(A47='Données projet'!$A$62,'Données projet'!$B$62,AI46+AH47-AQ46)))</f>
        <v>622.19999999999982</v>
      </c>
      <c r="AJ47" s="14">
        <f>AI47*VLOOKUP('Données projet'!$B$10,Paramètres!$A$1:$I$89,3,0)*VLOOKUP('Données projet'!$B$10,Paramètres!$A$1:$I$89,5,0)</f>
        <v>347.80979999999994</v>
      </c>
      <c r="AK47" s="14">
        <f t="shared" si="35"/>
        <v>81.111361679698661</v>
      </c>
      <c r="AL47" s="22">
        <f t="shared" si="4"/>
        <v>747.03768992547487</v>
      </c>
      <c r="AM47" s="62">
        <f t="shared" si="5"/>
        <v>1040.3710232588082</v>
      </c>
      <c r="AN47" s="62">
        <f ca="1">AVERAGE(OFFSET($AM$3,0,0,'Données projet'!$E$10+1,1))-AVERAGE(OFFSET($H$3,0,0,'Données projet'!$E$10+1,1))</f>
        <v>512.21337090113502</v>
      </c>
      <c r="AO47" s="62">
        <f t="shared" si="36"/>
        <v>621.03633124474163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22.434651735912311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6.8659246595368959</v>
      </c>
      <c r="AX47" s="23">
        <f t="shared" si="6"/>
        <v>29.300576395449205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9.8000000000000007</v>
      </c>
      <c r="BD47" s="13">
        <f>IF('Données projet'!$A$88&gt;35,BD46+BC47-BL46,IF(A47&lt;'Données projet'!$A$88,$BA$205^A47,IF(A47='Données projet'!$A$88,'Données projet'!$B$88,BD46+BC47-BL46)))</f>
        <v>213.20000000000007</v>
      </c>
      <c r="BE47" s="14">
        <f>BD47*VLOOKUP('Données projet'!$B$11,Paramètres!$A$1:$I$89,3,0)*VLOOKUP('Données projet'!$B$11,Paramètres!$A$1:$I$89,5,0)</f>
        <v>186.25152000000008</v>
      </c>
      <c r="BF47" s="14">
        <f t="shared" si="37"/>
        <v>46.71025851515671</v>
      </c>
      <c r="BG47" s="22">
        <f t="shared" si="7"/>
        <v>405.7417642472314</v>
      </c>
      <c r="BH47" s="62">
        <f t="shared" si="8"/>
        <v>699.07509758056472</v>
      </c>
      <c r="BI47" s="62">
        <f ca="1">AVERAGE(OFFSET($BH$3,0,0,'Données projet'!$E$11+1,1))-AVERAGE(OFFSET($H$3,0,0,'Données projet'!$E$11+1,1))</f>
        <v>321.23599968992932</v>
      </c>
      <c r="BJ47" s="62">
        <f t="shared" si="38"/>
        <v>388.05195847800502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2.9923980698598802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2.9923980698598802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14.1</v>
      </c>
      <c r="N48" s="14">
        <f>IF('Données projet'!$A$36&gt;35,N47+M48-V47,IF(A48&lt;'Données projet'!$A$36,$K$205^A48,IF(A48='Données projet'!$A$36,'Données projet'!$B$36,N47+M48-V47)))</f>
        <v>244.5</v>
      </c>
      <c r="O48" s="14">
        <f>N48*VLOOKUP('Données projet'!$B$9,Paramètres!$A$1:$I$89,3,0)*VLOOKUP('Données projet'!$B$9,Paramètres!$A$1:$I$89,5,0)</f>
        <v>146.21100000000001</v>
      </c>
      <c r="P48" s="14">
        <f t="shared" si="33"/>
        <v>37.71624383608448</v>
      </c>
      <c r="Q48" s="22">
        <f t="shared" si="53"/>
        <v>320.33994968118049</v>
      </c>
      <c r="R48" s="62">
        <f t="shared" si="0"/>
        <v>613.6732830145138</v>
      </c>
      <c r="S48" s="62">
        <f ca="1">AVERAGE(OFFSET($R$3,0,0,'Données projet'!$E$9+1,1))-AVERAGE(OFFSET($H$3,0,0,'Données projet'!$E$9+1,1))</f>
        <v>295.83974441964551</v>
      </c>
      <c r="T48" s="62">
        <f t="shared" si="34"/>
        <v>212.24900914818096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5.5313960234652431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3.0344704966172031</v>
      </c>
      <c r="AC48" s="24">
        <f t="shared" si="3"/>
        <v>8.5658665200824462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642</v>
      </c>
      <c r="AG48" s="13">
        <f>VLOOKUP(A48,'Données projet'!$A$61:$I$81,9,0)</f>
        <v>19.8</v>
      </c>
      <c r="AH48" s="13">
        <f t="array" ref="AH48">INDEX(AG:AG,MIN(IF(ISNUMBER(AG48:AG244),ROW(AG48:AG244),"")))</f>
        <v>19.8</v>
      </c>
      <c r="AI48" s="14">
        <f>IF('Données projet'!$A$62&gt;35,AI47+AH48-AQ47,IF(A48&lt;'Données projet'!$A$62,$AF$205^A48,IF(A48='Données projet'!$A$62,'Données projet'!$B$62,AI47+AH48-AQ47)))</f>
        <v>641.99999999999977</v>
      </c>
      <c r="AJ48" s="14">
        <f>AI48*VLOOKUP('Données projet'!$B$10,Paramètres!$A$1:$I$89,3,0)*VLOOKUP('Données projet'!$B$10,Paramètres!$A$1:$I$89,5,0)</f>
        <v>358.87799999999987</v>
      </c>
      <c r="AK48" s="14">
        <f t="shared" si="35"/>
        <v>83.3879100236867</v>
      </c>
      <c r="AL48" s="22">
        <f t="shared" si="4"/>
        <v>770.27979329125412</v>
      </c>
      <c r="AM48" s="62">
        <f t="shared" si="5"/>
        <v>1063.6131266245875</v>
      </c>
      <c r="AN48" s="62">
        <f ca="1">AVERAGE(OFFSET($AM$3,0,0,'Données projet'!$E$10+1,1))-AVERAGE(OFFSET($H$3,0,0,'Données projet'!$E$10+1,1))</f>
        <v>512.21337090113502</v>
      </c>
      <c r="AO48" s="62">
        <f t="shared" si="36"/>
        <v>621.03633124474163</v>
      </c>
      <c r="AP48" s="16">
        <f>IF(ISNA(VLOOKUP(A48,'Données projet'!$A$61:$I$81,3,0)),0,VLOOKUP(A48,'Données projet'!$A$61:$I$81,3,0))</f>
        <v>7</v>
      </c>
      <c r="AQ48" s="16">
        <f>IF(ISNA(VLOOKUP(A48,'Données projet'!$A$61:$I$81,4,0)),0,VLOOKUP(A48,'Données projet'!$A$61:$I$81,4,0))</f>
        <v>70</v>
      </c>
      <c r="AR48" s="17">
        <f>IF(ISNA(VLOOKUP(A48,'Données projet'!$A$61:$I$81,5,0)),0%,VLOOKUP(A48,'Données projet'!$A$61:$I$81,5,0)*VLOOKUP('Données projet'!$B$10,Paramètres!$A$1:$I$89,7,0))</f>
        <v>0.30250000000000005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0.45</v>
      </c>
      <c r="AU48" s="23">
        <f>EXP(-LN(2)/35)*AU47+(1-EXP(-LN(2)/35))/(LN(2)/35)*AQ48*AR48*VLOOKUP('Données projet'!$B$10,Paramètres!$A$1:$I$89,3,0)*0.475*44/12</f>
        <v>37.697033209415608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24.791854296869253</v>
      </c>
      <c r="AX48" s="23">
        <f t="shared" si="6"/>
        <v>62.488887506284861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223</v>
      </c>
      <c r="BB48" s="13">
        <f>VLOOKUP(A48,'Données projet'!$A$87:$I$107,9,0)</f>
        <v>9.8000000000000007</v>
      </c>
      <c r="BC48" s="13">
        <f t="array" ref="BC48">INDEX(BB:BB,MIN(IF(ISNUMBER(BB48:BB244),ROW(BB48:BB244),"")))</f>
        <v>9.8000000000000007</v>
      </c>
      <c r="BD48" s="13">
        <f>IF('Données projet'!$A$88&gt;35,BD47+BC48-BL47,IF(A48&lt;'Données projet'!$A$88,$BA$205^A48,IF(A48='Données projet'!$A$88,'Données projet'!$B$88,BD47+BC48-BL47)))</f>
        <v>223.00000000000009</v>
      </c>
      <c r="BE48" s="14">
        <f>BD48*VLOOKUP('Données projet'!$B$11,Paramètres!$A$1:$I$89,3,0)*VLOOKUP('Données projet'!$B$11,Paramètres!$A$1:$I$89,5,0)</f>
        <v>194.81280000000012</v>
      </c>
      <c r="BF48" s="14">
        <f t="shared" si="37"/>
        <v>48.602440540253902</v>
      </c>
      <c r="BG48" s="22">
        <f t="shared" si="7"/>
        <v>423.9482106076091</v>
      </c>
      <c r="BH48" s="62">
        <f t="shared" si="8"/>
        <v>717.28154394094236</v>
      </c>
      <c r="BI48" s="62">
        <f ca="1">AVERAGE(OFFSET($BH$3,0,0,'Données projet'!$E$11+1,1))-AVERAGE(OFFSET($H$3,0,0,'Données projet'!$E$11+1,1))</f>
        <v>321.23599968992932</v>
      </c>
      <c r="BJ48" s="62">
        <f t="shared" si="38"/>
        <v>388.05195847800502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36</v>
      </c>
      <c r="BM48" s="17">
        <f>IF(ISNA(VLOOKUP(A48,'Données projet'!$A$87:$I$107,5,0)),0%,VLOOKUP(A48,'Données projet'!$A$87:$I$107,5,0)*VLOOKUP('Données projet'!$B$11,Paramètres!$A$1:$I$89,7,0))</f>
        <v>0.129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7.4186105299051013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7.4186105299051013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14.1</v>
      </c>
      <c r="N49" s="14">
        <f>IF('Données projet'!$A$36&gt;35,N48+M49-V48,IF(A49&lt;'Données projet'!$A$36,$K$205^A49,IF(A49='Données projet'!$A$36,'Données projet'!$B$36,N48+M49-V48)))</f>
        <v>258.60000000000002</v>
      </c>
      <c r="O49" s="14">
        <f>N49*VLOOKUP('Données projet'!$B$9,Paramètres!$A$1:$I$89,3,0)*VLOOKUP('Données projet'!$B$9,Paramètres!$A$1:$I$89,5,0)</f>
        <v>154.64280000000002</v>
      </c>
      <c r="P49" s="14">
        <f t="shared" si="33"/>
        <v>39.631799470164985</v>
      </c>
      <c r="Q49" s="22">
        <f t="shared" si="53"/>
        <v>338.36159407720407</v>
      </c>
      <c r="R49" s="62">
        <f t="shared" si="0"/>
        <v>631.69492741053739</v>
      </c>
      <c r="S49" s="62">
        <f ca="1">AVERAGE(OFFSET($R$3,0,0,'Données projet'!$E$9+1,1))-AVERAGE(OFFSET($H$3,0,0,'Données projet'!$E$9+1,1))</f>
        <v>295.83974441964551</v>
      </c>
      <c r="T49" s="62">
        <f t="shared" si="34"/>
        <v>212.24900914818096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5.4229287212635269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2.1456946654685352</v>
      </c>
      <c r="AC49" s="24">
        <f t="shared" si="3"/>
        <v>7.568623386732062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18.2</v>
      </c>
      <c r="AI49" s="14">
        <f>IF('Données projet'!$A$62&gt;35,AI48+AH49-AQ48,IF(A49&lt;'Données projet'!$A$62,$AF$205^A49,IF(A49='Données projet'!$A$62,'Données projet'!$B$62,AI48+AH49-AQ48)))</f>
        <v>590.19999999999982</v>
      </c>
      <c r="AJ49" s="14">
        <f>AI49*VLOOKUP('Données projet'!$B$10,Paramètres!$A$1:$I$89,3,0)*VLOOKUP('Données projet'!$B$10,Paramètres!$A$1:$I$89,5,0)</f>
        <v>329.92179999999991</v>
      </c>
      <c r="AK49" s="14">
        <f t="shared" si="35"/>
        <v>77.414094093053606</v>
      </c>
      <c r="AL49" s="22">
        <f t="shared" si="4"/>
        <v>709.44334887873481</v>
      </c>
      <c r="AM49" s="62">
        <f t="shared" si="5"/>
        <v>1002.7766822120682</v>
      </c>
      <c r="AN49" s="62">
        <f ca="1">AVERAGE(OFFSET($AM$3,0,0,'Données projet'!$E$10+1,1))-AVERAGE(OFFSET($H$3,0,0,'Données projet'!$E$10+1,1))</f>
        <v>512.21337090113502</v>
      </c>
      <c r="AO49" s="62">
        <f t="shared" si="36"/>
        <v>621.03633124474163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36.957817381098863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17.530488291505097</v>
      </c>
      <c r="AX49" s="23">
        <f t="shared" si="6"/>
        <v>54.488305672603957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8.8000000000000007</v>
      </c>
      <c r="BD49" s="13">
        <f>IF('Données projet'!$A$88&gt;35,BD48+BC49-BL48,IF(A49&lt;'Données projet'!$A$88,$BA$205^A49,IF(A49='Données projet'!$A$88,'Données projet'!$B$88,BD48+BC49-BL48)))</f>
        <v>195.8000000000001</v>
      </c>
      <c r="BE49" s="14">
        <f>BD49*VLOOKUP('Données projet'!$B$11,Paramètres!$A$1:$I$89,3,0)*VLOOKUP('Données projet'!$B$11,Paramètres!$A$1:$I$89,5,0)</f>
        <v>171.05088000000012</v>
      </c>
      <c r="BF49" s="14">
        <f t="shared" si="37"/>
        <v>43.325301264581704</v>
      </c>
      <c r="BG49" s="22">
        <f t="shared" si="7"/>
        <v>373.37184903581334</v>
      </c>
      <c r="BH49" s="62">
        <f t="shared" si="8"/>
        <v>666.70518236914666</v>
      </c>
      <c r="BI49" s="62">
        <f ca="1">AVERAGE(OFFSET($BH$3,0,0,'Données projet'!$E$11+1,1))-AVERAGE(OFFSET($H$3,0,0,'Données projet'!$E$11+1,1))</f>
        <v>321.23599968992932</v>
      </c>
      <c r="BJ49" s="62">
        <f t="shared" si="38"/>
        <v>388.05195847800502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7.2731361023192882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7.2731361023192882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14.1</v>
      </c>
      <c r="N50" s="14">
        <f>IF('Données projet'!$A$36&gt;35,N49+M50-V49,IF(A50&lt;'Données projet'!$A$36,$K$205^A50,IF(A50='Données projet'!$A$36,'Données projet'!$B$36,N49+M50-V49)))</f>
        <v>272.70000000000005</v>
      </c>
      <c r="O50" s="14">
        <f>N50*VLOOKUP('Données projet'!$B$9,Paramètres!$A$1:$I$89,3,0)*VLOOKUP('Données projet'!$B$9,Paramètres!$A$1:$I$89,5,0)</f>
        <v>163.07460000000003</v>
      </c>
      <c r="P50" s="14">
        <f t="shared" si="33"/>
        <v>41.535229926099966</v>
      </c>
      <c r="Q50" s="22">
        <f t="shared" si="53"/>
        <v>356.36212045462412</v>
      </c>
      <c r="R50" s="62">
        <f t="shared" si="0"/>
        <v>649.69545378795738</v>
      </c>
      <c r="S50" s="62">
        <f ca="1">AVERAGE(OFFSET($R$3,0,0,'Données projet'!$E$9+1,1))-AVERAGE(OFFSET($H$3,0,0,'Données projet'!$E$9+1,1))</f>
        <v>295.83974441964551</v>
      </c>
      <c r="T50" s="62">
        <f t="shared" si="34"/>
        <v>212.24900914818096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5.3165883966994647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1.5172352483086018</v>
      </c>
      <c r="AC50" s="24">
        <f t="shared" si="3"/>
        <v>6.8338236450080663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18.2</v>
      </c>
      <c r="AI50" s="14">
        <f>IF('Données projet'!$A$62&gt;35,AI49+AH50-AQ49,IF(A50&lt;'Données projet'!$A$62,$AF$205^A50,IF(A50='Données projet'!$A$62,'Données projet'!$B$62,AI49+AH50-AQ49)))</f>
        <v>608.39999999999986</v>
      </c>
      <c r="AJ50" s="14">
        <f>AI50*VLOOKUP('Données projet'!$B$10,Paramètres!$A$1:$I$89,3,0)*VLOOKUP('Données projet'!$B$10,Paramètres!$A$1:$I$89,5,0)</f>
        <v>340.09559999999988</v>
      </c>
      <c r="AK50" s="14">
        <f t="shared" si="35"/>
        <v>79.519697663882184</v>
      </c>
      <c r="AL50" s="22">
        <f t="shared" si="4"/>
        <v>730.82997676459456</v>
      </c>
      <c r="AM50" s="62">
        <f t="shared" si="5"/>
        <v>1024.1633100979279</v>
      </c>
      <c r="AN50" s="62">
        <f ca="1">AVERAGE(OFFSET($AM$3,0,0,'Données projet'!$E$10+1,1))-AVERAGE(OFFSET($H$3,0,0,'Données projet'!$E$10+1,1))</f>
        <v>512.21337090113502</v>
      </c>
      <c r="AO50" s="62">
        <f t="shared" si="36"/>
        <v>621.03633124474163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36.233097124298276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12.395927148434629</v>
      </c>
      <c r="AX50" s="23">
        <f t="shared" si="6"/>
        <v>48.629024272732906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8.8000000000000007</v>
      </c>
      <c r="BD50" s="13">
        <f>IF('Données projet'!$A$88&gt;35,BD49+BC50-BL49,IF(A50&lt;'Données projet'!$A$88,$BA$205^A50,IF(A50='Données projet'!$A$88,'Données projet'!$B$88,BD49+BC50-BL49)))</f>
        <v>204.60000000000011</v>
      </c>
      <c r="BE50" s="14">
        <f>BD50*VLOOKUP('Données projet'!$B$11,Paramètres!$A$1:$I$89,3,0)*VLOOKUP('Données projet'!$B$11,Paramètres!$A$1:$I$89,5,0)</f>
        <v>178.73856000000012</v>
      </c>
      <c r="BF50" s="14">
        <f t="shared" si="37"/>
        <v>45.041424241265368</v>
      </c>
      <c r="BG50" s="22">
        <f t="shared" si="7"/>
        <v>389.75013922020406</v>
      </c>
      <c r="BH50" s="62">
        <f t="shared" si="8"/>
        <v>683.08347255353738</v>
      </c>
      <c r="BI50" s="62">
        <f ca="1">AVERAGE(OFFSET($BH$3,0,0,'Données projet'!$E$11+1,1))-AVERAGE(OFFSET($H$3,0,0,'Données projet'!$E$11+1,1))</f>
        <v>321.23599968992932</v>
      </c>
      <c r="BJ50" s="62">
        <f t="shared" si="38"/>
        <v>388.05195847800502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7.1305143395277932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7.1305143395277932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14.1</v>
      </c>
      <c r="N51" s="14">
        <f>IF('Données projet'!$A$36&gt;35,N50+M51-V50,IF(A51&lt;'Données projet'!$A$36,$K$205^A51,IF(A51='Données projet'!$A$36,'Données projet'!$B$36,N50+M51-V50)))</f>
        <v>286.80000000000007</v>
      </c>
      <c r="O51" s="14">
        <f>N51*VLOOKUP('Données projet'!$B$9,Paramètres!$A$1:$I$89,3,0)*VLOOKUP('Données projet'!$B$9,Paramètres!$A$1:$I$89,5,0)</f>
        <v>171.50640000000004</v>
      </c>
      <c r="P51" s="14">
        <f t="shared" si="33"/>
        <v>43.427233649451665</v>
      </c>
      <c r="Q51" s="22">
        <f t="shared" si="53"/>
        <v>374.34274527279507</v>
      </c>
      <c r="R51" s="62">
        <f t="shared" si="0"/>
        <v>667.67607860612839</v>
      </c>
      <c r="S51" s="62">
        <f ca="1">AVERAGE(OFFSET($R$3,0,0,'Données projet'!$E$9+1,1))-AVERAGE(OFFSET($H$3,0,0,'Données projet'!$E$9+1,1))</f>
        <v>295.83974441964551</v>
      </c>
      <c r="T51" s="62">
        <f t="shared" si="34"/>
        <v>212.24900914818096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5.2123333410389101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1.0728473327342676</v>
      </c>
      <c r="AC51" s="24">
        <f t="shared" si="3"/>
        <v>6.2851806737731781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18.2</v>
      </c>
      <c r="AI51" s="14">
        <f>IF('Données projet'!$A$62&gt;35,AI50+AH51-AQ50,IF(A51&lt;'Données projet'!$A$62,$AF$205^A51,IF(A51='Données projet'!$A$62,'Données projet'!$B$62,AI50+AH51-AQ50)))</f>
        <v>626.59999999999991</v>
      </c>
      <c r="AJ51" s="14">
        <f>AI51*VLOOKUP('Données projet'!$B$10,Paramètres!$A$1:$I$89,3,0)*VLOOKUP('Données projet'!$B$10,Paramètres!$A$1:$I$89,5,0)</f>
        <v>350.26939999999991</v>
      </c>
      <c r="AK51" s="14">
        <f t="shared" si="35"/>
        <v>81.617981011612585</v>
      </c>
      <c r="AL51" s="22">
        <f t="shared" si="4"/>
        <v>752.20385526189159</v>
      </c>
      <c r="AM51" s="62">
        <f t="shared" si="5"/>
        <v>1045.537188595225</v>
      </c>
      <c r="AN51" s="62">
        <f ca="1">AVERAGE(OFFSET($AM$3,0,0,'Données projet'!$E$10+1,1))-AVERAGE(OFFSET($H$3,0,0,'Données projet'!$E$10+1,1))</f>
        <v>512.21337090113502</v>
      </c>
      <c r="AO51" s="62">
        <f t="shared" si="36"/>
        <v>621.03633124474163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35.522588189697835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8.7652441457525487</v>
      </c>
      <c r="AX51" s="23">
        <f t="shared" si="6"/>
        <v>44.287832335450382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8.8000000000000007</v>
      </c>
      <c r="BD51" s="13">
        <f>IF('Données projet'!$A$88&gt;35,BD50+BC51-BL50,IF(A51&lt;'Données projet'!$A$88,$BA$205^A51,IF(A51='Données projet'!$A$88,'Données projet'!$B$88,BD50+BC51-BL50)))</f>
        <v>213.40000000000012</v>
      </c>
      <c r="BE51" s="14">
        <f>BD51*VLOOKUP('Données projet'!$B$11,Paramètres!$A$1:$I$89,3,0)*VLOOKUP('Données projet'!$B$11,Paramètres!$A$1:$I$89,5,0)</f>
        <v>186.42624000000012</v>
      </c>
      <c r="BF51" s="14">
        <f t="shared" si="37"/>
        <v>46.748974211060826</v>
      </c>
      <c r="BG51" s="22">
        <f t="shared" si="7"/>
        <v>406.11349808426445</v>
      </c>
      <c r="BH51" s="62">
        <f t="shared" si="8"/>
        <v>699.44683141759776</v>
      </c>
      <c r="BI51" s="62">
        <f ca="1">AVERAGE(OFFSET($BH$3,0,0,'Données projet'!$E$11+1,1))-AVERAGE(OFFSET($H$3,0,0,'Données projet'!$E$11+1,1))</f>
        <v>321.23599968992932</v>
      </c>
      <c r="BJ51" s="62">
        <f t="shared" si="38"/>
        <v>388.05195847800502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6.990689302513954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6.990689302513954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14.1</v>
      </c>
      <c r="N52" s="14">
        <f>IF('Données projet'!$A$36&gt;35,N51+M52-V51,IF(A52&lt;'Données projet'!$A$36,$K$205^A52,IF(A52='Données projet'!$A$36,'Données projet'!$B$36,N51+M52-V51)))</f>
        <v>300.90000000000009</v>
      </c>
      <c r="O52" s="14">
        <f>N52*VLOOKUP('Données projet'!$B$9,Paramètres!$A$1:$I$89,3,0)*VLOOKUP('Données projet'!$B$9,Paramètres!$A$1:$I$89,5,0)</f>
        <v>179.93820000000005</v>
      </c>
      <c r="P52" s="14">
        <f t="shared" si="33"/>
        <v>45.308436530386629</v>
      </c>
      <c r="Q52" s="22">
        <f t="shared" si="53"/>
        <v>392.30455862375675</v>
      </c>
      <c r="R52" s="62">
        <f t="shared" si="0"/>
        <v>685.63789195709001</v>
      </c>
      <c r="S52" s="62">
        <f ca="1">AVERAGE(OFFSET($R$3,0,0,'Données projet'!$E$9+1,1))-AVERAGE(OFFSET($H$3,0,0,'Données projet'!$E$9+1,1))</f>
        <v>295.83974441964551</v>
      </c>
      <c r="T52" s="62">
        <f t="shared" si="34"/>
        <v>212.24900914818096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5.1101226634305545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0.7586176241543009</v>
      </c>
      <c r="AC52" s="24">
        <f t="shared" si="3"/>
        <v>5.8687402875848553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18.2</v>
      </c>
      <c r="AI52" s="14">
        <f>IF('Données projet'!$A$62&gt;35,AI51+AH52-AQ51,IF(A52&lt;'Données projet'!$A$62,$AF$205^A52,IF(A52='Données projet'!$A$62,'Données projet'!$B$62,AI51+AH52-AQ51)))</f>
        <v>644.79999999999995</v>
      </c>
      <c r="AJ52" s="14">
        <f>AI52*VLOOKUP('Données projet'!$B$10,Paramètres!$A$1:$I$89,3,0)*VLOOKUP('Données projet'!$B$10,Paramètres!$A$1:$I$89,5,0)</f>
        <v>360.44319999999993</v>
      </c>
      <c r="AK52" s="14">
        <f t="shared" si="35"/>
        <v>83.709181172614507</v>
      </c>
      <c r="AL52" s="22">
        <f t="shared" si="4"/>
        <v>773.56539720897001</v>
      </c>
      <c r="AM52" s="62">
        <f t="shared" si="5"/>
        <v>1066.8987305423034</v>
      </c>
      <c r="AN52" s="62">
        <f ca="1">AVERAGE(OFFSET($AM$3,0,0,'Données projet'!$E$10+1,1))-AVERAGE(OFFSET($H$3,0,0,'Données projet'!$E$10+1,1))</f>
        <v>512.21337090113502</v>
      </c>
      <c r="AO52" s="62">
        <f t="shared" si="36"/>
        <v>621.03633124474163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34.826011901937257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6.1979635742173143</v>
      </c>
      <c r="AX52" s="23">
        <f t="shared" si="6"/>
        <v>41.023975476154568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8.8000000000000007</v>
      </c>
      <c r="BD52" s="13">
        <f>IF('Données projet'!$A$88&gt;35,BD51+BC52-BL51,IF(A52&lt;'Données projet'!$A$88,$BA$205^A52,IF(A52='Données projet'!$A$88,'Données projet'!$B$88,BD51+BC52-BL51)))</f>
        <v>222.20000000000013</v>
      </c>
      <c r="BE52" s="14">
        <f>BD52*VLOOKUP('Données projet'!$B$11,Paramètres!$A$1:$I$89,3,0)*VLOOKUP('Données projet'!$B$11,Paramètres!$A$1:$I$89,5,0)</f>
        <v>194.11392000000015</v>
      </c>
      <c r="BF52" s="14">
        <f t="shared" si="37"/>
        <v>48.448345132424009</v>
      </c>
      <c r="BG52" s="22">
        <f t="shared" si="7"/>
        <v>422.46261177230537</v>
      </c>
      <c r="BH52" s="62">
        <f t="shared" si="8"/>
        <v>715.79594510563868</v>
      </c>
      <c r="BI52" s="62">
        <f ca="1">AVERAGE(OFFSET($BH$3,0,0,'Données projet'!$E$11+1,1))-AVERAGE(OFFSET($H$3,0,0,'Données projet'!$E$11+1,1))</f>
        <v>321.23599968992932</v>
      </c>
      <c r="BJ52" s="62">
        <f t="shared" si="38"/>
        <v>388.05195847800502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6.8536061491911049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6.8536061491911049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315</v>
      </c>
      <c r="L53" s="13">
        <f>VLOOKUP(A53,'Données projet'!$A$35:$I$55,9,0)</f>
        <v>14.1</v>
      </c>
      <c r="M53" s="13">
        <f t="array" ref="M53">INDEX(L:L,MIN(IF(ISNUMBER(L53:L249),ROW(L53:L249),"")))</f>
        <v>14.1</v>
      </c>
      <c r="N53" s="14">
        <f>IF('Données projet'!$A$36&gt;35,N52+M53-V52,IF(A53&lt;'Données projet'!$A$36,$K$205^A53,IF(A53='Données projet'!$A$36,'Données projet'!$B$36,N52+M53-V52)))</f>
        <v>315.00000000000011</v>
      </c>
      <c r="O53" s="14">
        <f>N53*VLOOKUP('Données projet'!$B$9,Paramètres!$A$1:$I$89,3,0)*VLOOKUP('Données projet'!$B$9,Paramètres!$A$1:$I$89,5,0)</f>
        <v>188.37000000000009</v>
      </c>
      <c r="P53" s="14">
        <f t="shared" si="33"/>
        <v>47.179402486491341</v>
      </c>
      <c r="Q53" s="22">
        <f t="shared" si="53"/>
        <v>410.24854266397256</v>
      </c>
      <c r="R53" s="62">
        <f t="shared" si="0"/>
        <v>703.58187599730581</v>
      </c>
      <c r="S53" s="62">
        <f ca="1">AVERAGE(OFFSET($R$3,0,0,'Données projet'!$E$9+1,1))-AVERAGE(OFFSET($H$3,0,0,'Données projet'!$E$9+1,1))</f>
        <v>295.83974441964551</v>
      </c>
      <c r="T53" s="62">
        <f t="shared" si="34"/>
        <v>212.24900914818096</v>
      </c>
      <c r="U53" s="16">
        <f>IF(ISNA(VLOOKUP(A53,'Données projet'!$A$35:$I$55,3,0)),0,VLOOKUP(A53,'Données projet'!$A$35:$I$55,3,0))</f>
        <v>5</v>
      </c>
      <c r="V53" s="16">
        <f>IF(ISNA(VLOOKUP(A53,'Données projet'!$A$35:$I$55,4,0)),0,VLOOKUP(A53,'Données projet'!$A$35:$I$55,4,0))</f>
        <v>79</v>
      </c>
      <c r="W53" s="17">
        <f>IF(ISNA(VLOOKUP(A53,'Données projet'!$A$35:$I$55,5,0)),0%,VLOOKUP(A53,'Données projet'!$A$35:$I$55,5,0)*VLOOKUP('Données projet'!$B$9,Paramètres!$A$1:$I$89,7,0))</f>
        <v>0.22500000000000001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0.5</v>
      </c>
      <c r="Z53" s="23">
        <f>EXP(-LN(2)/35)*Z52+(1-EXP(-LN(2)/35))/(LN(2)/35)*V53*W53*VLOOKUP('Données projet'!$B$9,Paramètres!$A$1:$I$89,3,0)*0.475*44/12</f>
        <v>19.110566825739561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27.280882766239781</v>
      </c>
      <c r="AC53" s="24">
        <f t="shared" si="3"/>
        <v>46.391449591979338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663</v>
      </c>
      <c r="AG53" s="13">
        <f>VLOOKUP(A53,'Données projet'!$A$61:$I$81,9,0)</f>
        <v>18.2</v>
      </c>
      <c r="AH53" s="13">
        <f t="array" ref="AH53">INDEX(AG:AG,MIN(IF(ISNUMBER(AG53:AG249),ROW(AG53:AG249),"")))</f>
        <v>18.2</v>
      </c>
      <c r="AI53" s="14">
        <f>IF('Données projet'!$A$62&gt;35,AI52+AH53-AQ52,IF(A53&lt;'Données projet'!$A$62,$AF$205^A53,IF(A53='Données projet'!$A$62,'Données projet'!$B$62,AI52+AH53-AQ52)))</f>
        <v>663</v>
      </c>
      <c r="AJ53" s="14">
        <f>AI53*VLOOKUP('Données projet'!$B$10,Paramètres!$A$1:$I$89,3,0)*VLOOKUP('Données projet'!$B$10,Paramètres!$A$1:$I$89,5,0)</f>
        <v>370.61699999999996</v>
      </c>
      <c r="AK53" s="14">
        <f t="shared" si="35"/>
        <v>85.793521040948463</v>
      </c>
      <c r="AL53" s="22">
        <f t="shared" si="4"/>
        <v>794.91499081298514</v>
      </c>
      <c r="AM53" s="62">
        <f t="shared" si="5"/>
        <v>1088.2483241463185</v>
      </c>
      <c r="AN53" s="62">
        <f ca="1">AVERAGE(OFFSET($AM$3,0,0,'Données projet'!$E$10+1,1))-AVERAGE(OFFSET($H$3,0,0,'Données projet'!$E$10+1,1))</f>
        <v>512.21337090113502</v>
      </c>
      <c r="AO53" s="62">
        <f t="shared" si="36"/>
        <v>621.03633124474163</v>
      </c>
      <c r="AP53" s="16">
        <f>IF(ISNA(VLOOKUP(A53,'Données projet'!$A$61:$I$81,3,0)),0,VLOOKUP(A53,'Données projet'!$A$61:$I$81,3,0))</f>
        <v>8</v>
      </c>
      <c r="AQ53" s="16">
        <f>IF(ISNA(VLOOKUP(A53,'Données projet'!$A$61:$I$81,4,0)),0,VLOOKUP(A53,'Données projet'!$A$61:$I$81,4,0))</f>
        <v>73</v>
      </c>
      <c r="AR53" s="17">
        <f>IF(ISNA(VLOOKUP(A53,'Données projet'!$A$61:$I$81,5,0)),0%,VLOOKUP(A53,'Données projet'!$A$61:$I$81,5,0)*VLOOKUP('Données projet'!$B$10,Paramètres!$A$1:$I$89,7,0))</f>
        <v>0.35750000000000004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0.35</v>
      </c>
      <c r="AU53" s="23">
        <f>EXP(-LN(2)/35)*AU52+(1-EXP(-LN(2)/35))/(LN(2)/35)*AQ53*AR53*VLOOKUP('Données projet'!$B$10,Paramètres!$A$1:$I$89,3,0)*0.475*44/12</f>
        <v>53.495683924900945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20.553673250683143</v>
      </c>
      <c r="AX53" s="23">
        <f t="shared" si="6"/>
        <v>74.049357175584092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8.8000000000000007</v>
      </c>
      <c r="BC53" s="13">
        <f t="array" ref="BC53">INDEX(BB:BB,MIN(IF(ISNUMBER(BB53:BB249),ROW(BB53:BB249),"")))</f>
        <v>8.8000000000000007</v>
      </c>
      <c r="BD53" s="13">
        <f>IF('Données projet'!$A$88&gt;35,BD52+BC53-BL52,IF(A53&lt;'Données projet'!$A$88,$BA$205^A53,IF(A53='Données projet'!$A$88,'Données projet'!$B$88,BD52+BC53-BL52)))</f>
        <v>231.00000000000014</v>
      </c>
      <c r="BE53" s="14">
        <f>BD53*VLOOKUP('Données projet'!$B$11,Paramètres!$A$1:$I$89,3,0)*VLOOKUP('Données projet'!$B$11,Paramètres!$A$1:$I$89,5,0)</f>
        <v>201.80160000000015</v>
      </c>
      <c r="BF53" s="14">
        <f t="shared" si="37"/>
        <v>50.139897992681711</v>
      </c>
      <c r="BG53" s="22">
        <f t="shared" si="7"/>
        <v>438.7981090039209</v>
      </c>
      <c r="BH53" s="62">
        <f t="shared" si="8"/>
        <v>732.13144233725416</v>
      </c>
      <c r="BI53" s="62">
        <f ca="1">AVERAGE(OFFSET($BH$3,0,0,'Données projet'!$E$11+1,1))-AVERAGE(OFFSET($H$3,0,0,'Données projet'!$E$11+1,1))</f>
        <v>321.23599968992932</v>
      </c>
      <c r="BJ53" s="62">
        <f t="shared" si="38"/>
        <v>388.05195847800502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33</v>
      </c>
      <c r="BM53" s="17">
        <f>IF(ISNA(VLOOKUP(A53,'Données projet'!$A$87:$I$107,5,0)),0%,VLOOKUP(A53,'Données projet'!$A$87:$I$107,5,0)*VLOOKUP('Données projet'!$B$11,Paramètres!$A$1:$I$89,7,0))</f>
        <v>0.17200000000000001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12.200745243018925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12.200745243018925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15.7</v>
      </c>
      <c r="N54" s="14">
        <f>IF('Données projet'!$A$36&gt;35,N53+M54-V53,IF(A54&lt;'Données projet'!$A$36,$K$205^A54,IF(A54='Données projet'!$A$36,'Données projet'!$B$36,N53+M54-V53)))</f>
        <v>251.7000000000001</v>
      </c>
      <c r="O54" s="14">
        <f>N54*VLOOKUP('Données projet'!$B$9,Paramètres!$A$1:$I$89,3,0)*VLOOKUP('Données projet'!$B$9,Paramètres!$A$1:$I$89,5,0)</f>
        <v>150.51660000000007</v>
      </c>
      <c r="P54" s="14">
        <f t="shared" si="33"/>
        <v>38.695961323116059</v>
      </c>
      <c r="Q54" s="22">
        <f t="shared" si="53"/>
        <v>329.54521097109392</v>
      </c>
      <c r="R54" s="62">
        <f t="shared" si="0"/>
        <v>622.87854430442724</v>
      </c>
      <c r="S54" s="62">
        <f ca="1">AVERAGE(OFFSET($R$3,0,0,'Données projet'!$E$9+1,1))-AVERAGE(OFFSET($H$3,0,0,'Données projet'!$E$9+1,1))</f>
        <v>295.83974441964551</v>
      </c>
      <c r="T54" s="62">
        <f t="shared" si="34"/>
        <v>212.24900914818096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18.735820266581609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19.290497200763369</v>
      </c>
      <c r="AC54" s="24">
        <f t="shared" si="3"/>
        <v>38.026317467344981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</v>
      </c>
      <c r="AI54" s="14">
        <f>IF('Données projet'!$A$62&gt;35,AI53+AH54-AQ53,IF(A54&lt;'Données projet'!$A$62,$AF$205^A54,IF(A54='Données projet'!$A$62,'Données projet'!$B$62,AI53+AH54-AQ53)))</f>
        <v>607</v>
      </c>
      <c r="AJ54" s="14">
        <f>AI54*VLOOKUP('Données projet'!$B$10,Paramètres!$A$1:$I$89,3,0)*VLOOKUP('Données projet'!$B$10,Paramètres!$A$1:$I$89,5,0)</f>
        <v>339.31299999999999</v>
      </c>
      <c r="AK54" s="14">
        <f t="shared" si="35"/>
        <v>79.357991167872044</v>
      </c>
      <c r="AL54" s="22">
        <f t="shared" si="4"/>
        <v>729.18530961737713</v>
      </c>
      <c r="AM54" s="62">
        <f t="shared" si="5"/>
        <v>1022.5186429507105</v>
      </c>
      <c r="AN54" s="62">
        <f ca="1">AVERAGE(OFFSET($AM$3,0,0,'Données projet'!$E$10+1,1))-AVERAGE(OFFSET($H$3,0,0,'Données projet'!$E$10+1,1))</f>
        <v>512.21337090113502</v>
      </c>
      <c r="AO54" s="62">
        <f t="shared" si="36"/>
        <v>621.03633124474163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52.446666192278968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14.533641733850601</v>
      </c>
      <c r="AX54" s="23">
        <f t="shared" si="6"/>
        <v>66.980307926129569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7.8</v>
      </c>
      <c r="BD54" s="13">
        <f>IF('Données projet'!$A$88&gt;35,BD53+BC54-BL53,IF(A54&lt;'Données projet'!$A$88,$BA$205^A54,IF(A54='Données projet'!$A$88,'Données projet'!$B$88,BD53+BC54-BL53)))</f>
        <v>205.80000000000015</v>
      </c>
      <c r="BE54" s="14">
        <f>BD54*VLOOKUP('Données projet'!$B$11,Paramètres!$A$1:$I$89,3,0)*VLOOKUP('Données projet'!$B$11,Paramètres!$A$1:$I$89,5,0)</f>
        <v>179.78688000000014</v>
      </c>
      <c r="BF54" s="14">
        <f t="shared" si="37"/>
        <v>45.274767624296977</v>
      </c>
      <c r="BG54" s="22">
        <f t="shared" si="7"/>
        <v>391.98236961231743</v>
      </c>
      <c r="BH54" s="62">
        <f t="shared" si="8"/>
        <v>685.31570294565074</v>
      </c>
      <c r="BI54" s="62">
        <f ca="1">AVERAGE(OFFSET($BH$3,0,0,'Données projet'!$E$11+1,1))-AVERAGE(OFFSET($H$3,0,0,'Données projet'!$E$11+1,1))</f>
        <v>321.23599968992932</v>
      </c>
      <c r="BJ54" s="62">
        <f t="shared" si="38"/>
        <v>388.05195847800502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11.961496070523113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11.961496070523113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15.7</v>
      </c>
      <c r="N55" s="14">
        <f>IF('Données projet'!$A$36&gt;35,N54+M55-V54,IF(A55&lt;'Données projet'!$A$36,$K$205^A55,IF(A55='Données projet'!$A$36,'Données projet'!$B$36,N54+M55-V54)))</f>
        <v>267.40000000000009</v>
      </c>
      <c r="O55" s="14">
        <f>N55*VLOOKUP('Données projet'!$B$9,Paramètres!$A$1:$I$89,3,0)*VLOOKUP('Données projet'!$B$9,Paramètres!$A$1:$I$89,5,0)</f>
        <v>159.90520000000006</v>
      </c>
      <c r="P55" s="14">
        <f t="shared" si="33"/>
        <v>40.821132264574658</v>
      </c>
      <c r="Q55" s="22">
        <f t="shared" si="53"/>
        <v>349.59836202746766</v>
      </c>
      <c r="R55" s="62">
        <f t="shared" si="0"/>
        <v>642.93169536080097</v>
      </c>
      <c r="S55" s="62">
        <f ca="1">AVERAGE(OFFSET($R$3,0,0,'Données projet'!$E$9+1,1))-AVERAGE(OFFSET($H$3,0,0,'Données projet'!$E$9+1,1))</f>
        <v>295.83974441964551</v>
      </c>
      <c r="T55" s="62">
        <f t="shared" si="34"/>
        <v>212.24900914818096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18.368422258875913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13.640441383119892</v>
      </c>
      <c r="AC55" s="24">
        <f t="shared" si="3"/>
        <v>32.008863641995802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</v>
      </c>
      <c r="AI55" s="14">
        <f>IF('Données projet'!$A$62&gt;35,AI54+AH55-AQ54,IF(A55&lt;'Données projet'!$A$62,$AF$205^A55,IF(A55='Données projet'!$A$62,'Données projet'!$B$62,AI54+AH55-AQ54)))</f>
        <v>624</v>
      </c>
      <c r="AJ55" s="14">
        <f>AI55*VLOOKUP('Données projet'!$B$10,Paramètres!$A$1:$I$89,3,0)*VLOOKUP('Données projet'!$B$10,Paramètres!$A$1:$I$89,5,0)</f>
        <v>348.81600000000003</v>
      </c>
      <c r="AK55" s="14">
        <f t="shared" si="35"/>
        <v>81.318665281585453</v>
      </c>
      <c r="AL55" s="22">
        <f t="shared" si="4"/>
        <v>749.15120869876137</v>
      </c>
      <c r="AM55" s="62">
        <f t="shared" si="5"/>
        <v>1042.4845420320946</v>
      </c>
      <c r="AN55" s="62">
        <f ca="1">AVERAGE(OFFSET($AM$3,0,0,'Données projet'!$E$10+1,1))-AVERAGE(OFFSET($H$3,0,0,'Données projet'!$E$10+1,1))</f>
        <v>512.21337090113502</v>
      </c>
      <c r="AO55" s="62">
        <f t="shared" si="36"/>
        <v>621.03633124474163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51.418219057556072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10.276836625341573</v>
      </c>
      <c r="AX55" s="23">
        <f t="shared" si="6"/>
        <v>61.695055682897646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7.8</v>
      </c>
      <c r="BD55" s="13">
        <f>IF('Données projet'!$A$88&gt;35,BD54+BC55-BL54,IF(A55&lt;'Données projet'!$A$88,$BA$205^A55,IF(A55='Données projet'!$A$88,'Données projet'!$B$88,BD54+BC55-BL54)))</f>
        <v>213.60000000000016</v>
      </c>
      <c r="BE55" s="14">
        <f>BD55*VLOOKUP('Données projet'!$B$11,Paramètres!$A$1:$I$89,3,0)*VLOOKUP('Données projet'!$B$11,Paramètres!$A$1:$I$89,5,0)</f>
        <v>186.60096000000016</v>
      </c>
      <c r="BF55" s="14">
        <f t="shared" si="37"/>
        <v>46.787685683664144</v>
      </c>
      <c r="BG55" s="22">
        <f t="shared" si="7"/>
        <v>406.48522456571527</v>
      </c>
      <c r="BH55" s="62">
        <f t="shared" si="8"/>
        <v>699.81855789904853</v>
      </c>
      <c r="BI55" s="62">
        <f ca="1">AVERAGE(OFFSET($BH$3,0,0,'Données projet'!$E$11+1,1))-AVERAGE(OFFSET($H$3,0,0,'Données projet'!$E$11+1,1))</f>
        <v>321.23599968992932</v>
      </c>
      <c r="BJ55" s="62">
        <f t="shared" si="38"/>
        <v>388.05195847800502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11.726938428372359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11.726938428372359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15.7</v>
      </c>
      <c r="N56" s="14">
        <f>IF('Données projet'!$A$36&gt;35,N55+M56-V55,IF(A56&lt;'Données projet'!$A$36,$K$205^A56,IF(A56='Données projet'!$A$36,'Données projet'!$B$36,N55+M56-V55)))</f>
        <v>283.10000000000008</v>
      </c>
      <c r="O56" s="14">
        <f>N56*VLOOKUP('Données projet'!$B$9,Paramètres!$A$1:$I$89,3,0)*VLOOKUP('Données projet'!$B$9,Paramètres!$A$1:$I$89,5,0)</f>
        <v>169.29380000000009</v>
      </c>
      <c r="P56" s="14">
        <f t="shared" si="33"/>
        <v>42.931819978697277</v>
      </c>
      <c r="Q56" s="22">
        <f t="shared" si="53"/>
        <v>369.6262881295645</v>
      </c>
      <c r="R56" s="62">
        <f t="shared" si="0"/>
        <v>662.95962146289776</v>
      </c>
      <c r="S56" s="62">
        <f ca="1">AVERAGE(OFFSET($R$3,0,0,'Données projet'!$E$9+1,1))-AVERAGE(OFFSET($H$3,0,0,'Données projet'!$E$9+1,1))</f>
        <v>295.83974441964551</v>
      </c>
      <c r="T56" s="62">
        <f t="shared" si="34"/>
        <v>212.24900914818096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18.008228702010669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9.6452486003816862</v>
      </c>
      <c r="AC56" s="24">
        <f t="shared" si="3"/>
        <v>27.653477302392353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</v>
      </c>
      <c r="AI56" s="14">
        <f>IF('Données projet'!$A$62&gt;35,AI55+AH56-AQ55,IF(A56&lt;'Données projet'!$A$62,$AF$205^A56,IF(A56='Données projet'!$A$62,'Données projet'!$B$62,AI55+AH56-AQ55)))</f>
        <v>641</v>
      </c>
      <c r="AJ56" s="14">
        <f>AI56*VLOOKUP('Données projet'!$B$10,Paramètres!$A$1:$I$89,3,0)*VLOOKUP('Données projet'!$B$10,Paramètres!$A$1:$I$89,5,0)</f>
        <v>358.31900000000002</v>
      </c>
      <c r="AK56" s="14">
        <f t="shared" si="35"/>
        <v>83.273130832542009</v>
      </c>
      <c r="AL56" s="22">
        <f t="shared" si="4"/>
        <v>769.10629453334388</v>
      </c>
      <c r="AM56" s="62">
        <f t="shared" si="5"/>
        <v>1062.4396278666773</v>
      </c>
      <c r="AN56" s="62">
        <f ca="1">AVERAGE(OFFSET($AM$3,0,0,'Données projet'!$E$10+1,1))-AVERAGE(OFFSET($H$3,0,0,'Données projet'!$E$10+1,1))</f>
        <v>512.21337090113502</v>
      </c>
      <c r="AO56" s="62">
        <f t="shared" si="36"/>
        <v>621.03633124474163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50.409939143854281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7.2668208669253023</v>
      </c>
      <c r="AX56" s="23">
        <f t="shared" si="6"/>
        <v>57.676760010779581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7.8</v>
      </c>
      <c r="BD56" s="13">
        <f>IF('Données projet'!$A$88&gt;35,BD55+BC56-BL55,IF(A56&lt;'Données projet'!$A$88,$BA$205^A56,IF(A56='Données projet'!$A$88,'Données projet'!$B$88,BD55+BC56-BL55)))</f>
        <v>221.40000000000018</v>
      </c>
      <c r="BE56" s="14">
        <f>BD56*VLOOKUP('Données projet'!$B$11,Paramètres!$A$1:$I$89,3,0)*VLOOKUP('Données projet'!$B$11,Paramètres!$A$1:$I$89,5,0)</f>
        <v>193.41504000000018</v>
      </c>
      <c r="BF56" s="14">
        <f t="shared" si="37"/>
        <v>48.294185132315114</v>
      </c>
      <c r="BG56" s="22">
        <f t="shared" si="7"/>
        <v>420.97690043878242</v>
      </c>
      <c r="BH56" s="62">
        <f t="shared" si="8"/>
        <v>714.31023377211568</v>
      </c>
      <c r="BI56" s="62">
        <f ca="1">AVERAGE(OFFSET($BH$3,0,0,'Données projet'!$E$11+1,1))-AVERAGE(OFFSET($H$3,0,0,'Données projet'!$E$11+1,1))</f>
        <v>321.23599968992932</v>
      </c>
      <c r="BJ56" s="62">
        <f t="shared" si="38"/>
        <v>388.05195847800502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11.496980318518144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11.496980318518144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15.7</v>
      </c>
      <c r="N57" s="14">
        <f>IF('Données projet'!$A$36&gt;35,N56+M57-V56,IF(A57&lt;'Données projet'!$A$36,$K$205^A57,IF(A57='Données projet'!$A$36,'Données projet'!$B$36,N56+M57-V56)))</f>
        <v>298.80000000000007</v>
      </c>
      <c r="O57" s="14">
        <f>N57*VLOOKUP('Données projet'!$B$9,Paramètres!$A$1:$I$89,3,0)*VLOOKUP('Données projet'!$B$9,Paramètres!$A$1:$I$89,5,0)</f>
        <v>178.68240000000006</v>
      </c>
      <c r="P57" s="14">
        <f t="shared" si="33"/>
        <v>45.028919214980071</v>
      </c>
      <c r="Q57" s="22">
        <f t="shared" si="53"/>
        <v>389.63054763275704</v>
      </c>
      <c r="R57" s="62">
        <f t="shared" si="0"/>
        <v>682.9638809660903</v>
      </c>
      <c r="S57" s="62">
        <f ca="1">AVERAGE(OFFSET($R$3,0,0,'Données projet'!$E$9+1,1))-AVERAGE(OFFSET($H$3,0,0,'Données projet'!$E$9+1,1))</f>
        <v>295.83974441964551</v>
      </c>
      <c r="T57" s="62">
        <f t="shared" si="34"/>
        <v>212.24900914818096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17.655098321099175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6.820220691559947</v>
      </c>
      <c r="AC57" s="24">
        <f t="shared" si="3"/>
        <v>24.475319012659121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</v>
      </c>
      <c r="AI57" s="14">
        <f>IF('Données projet'!$A$62&gt;35,AI56+AH57-AQ56,IF(A57&lt;'Données projet'!$A$62,$AF$205^A57,IF(A57='Données projet'!$A$62,'Données projet'!$B$62,AI56+AH57-AQ56)))</f>
        <v>658</v>
      </c>
      <c r="AJ57" s="14">
        <f>AI57*VLOOKUP('Données projet'!$B$10,Paramètres!$A$1:$I$89,3,0)*VLOOKUP('Données projet'!$B$10,Paramètres!$A$1:$I$89,5,0)</f>
        <v>367.822</v>
      </c>
      <c r="AK57" s="14">
        <f t="shared" si="35"/>
        <v>85.221571404689442</v>
      </c>
      <c r="AL57" s="22">
        <f t="shared" si="4"/>
        <v>789.05088686316742</v>
      </c>
      <c r="AM57" s="62">
        <f t="shared" si="5"/>
        <v>1082.3842201965008</v>
      </c>
      <c r="AN57" s="62">
        <f ca="1">AVERAGE(OFFSET($AM$3,0,0,'Données projet'!$E$10+1,1))-AVERAGE(OFFSET($H$3,0,0,'Données projet'!$E$10+1,1))</f>
        <v>512.21337090113502</v>
      </c>
      <c r="AO57" s="62">
        <f t="shared" si="36"/>
        <v>621.03633124474163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49.42143098427016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5.1384183126707876</v>
      </c>
      <c r="AX57" s="23">
        <f t="shared" si="6"/>
        <v>54.559849296940946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7.8</v>
      </c>
      <c r="BD57" s="13">
        <f>IF('Données projet'!$A$88&gt;35,BD56+BC57-BL56,IF(A57&lt;'Données projet'!$A$88,$BA$205^A57,IF(A57='Données projet'!$A$88,'Données projet'!$B$88,BD56+BC57-BL56)))</f>
        <v>229.20000000000019</v>
      </c>
      <c r="BE57" s="14">
        <f>BD57*VLOOKUP('Données projet'!$B$11,Paramètres!$A$1:$I$89,3,0)*VLOOKUP('Données projet'!$B$11,Paramètres!$A$1:$I$89,5,0)</f>
        <v>200.22912000000019</v>
      </c>
      <c r="BF57" s="14">
        <f t="shared" si="37"/>
        <v>49.794518010766396</v>
      </c>
      <c r="BG57" s="22">
        <f t="shared" si="7"/>
        <v>435.45783620208516</v>
      </c>
      <c r="BH57" s="62">
        <f t="shared" si="8"/>
        <v>728.79116953541848</v>
      </c>
      <c r="BI57" s="62">
        <f ca="1">AVERAGE(OFFSET($BH$3,0,0,'Données projet'!$E$11+1,1))-AVERAGE(OFFSET($H$3,0,0,'Données projet'!$E$11+1,1))</f>
        <v>321.23599968992932</v>
      </c>
      <c r="BJ57" s="62">
        <f t="shared" si="38"/>
        <v>388.05195847800502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11.271531546937574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11.271531546937574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15.7</v>
      </c>
      <c r="N58" s="14">
        <f>IF('Données projet'!$A$36&gt;35,N57+M58-V57,IF(A58&lt;'Données projet'!$A$36,$K$205^A58,IF(A58='Données projet'!$A$36,'Données projet'!$B$36,N57+M58-V57)))</f>
        <v>314.50000000000006</v>
      </c>
      <c r="O58" s="14">
        <f>N58*VLOOKUP('Données projet'!$B$9,Paramètres!$A$1:$I$89,3,0)*VLOOKUP('Données projet'!$B$9,Paramètres!$A$1:$I$89,5,0)</f>
        <v>188.07100000000005</v>
      </c>
      <c r="P58" s="14">
        <f t="shared" si="33"/>
        <v>47.113225385753083</v>
      </c>
      <c r="Q58" s="22">
        <f t="shared" si="53"/>
        <v>409.61252588018669</v>
      </c>
      <c r="R58" s="62">
        <f t="shared" si="0"/>
        <v>702.94585921351995</v>
      </c>
      <c r="S58" s="62">
        <f ca="1">AVERAGE(OFFSET($R$3,0,0,'Données projet'!$E$9+1,1))-AVERAGE(OFFSET($H$3,0,0,'Données projet'!$E$9+1,1))</f>
        <v>295.83974441964551</v>
      </c>
      <c r="T58" s="62">
        <f t="shared" si="34"/>
        <v>212.24900914818096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17.308892611569089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4.822624300190844</v>
      </c>
      <c r="AC58" s="24">
        <f t="shared" si="3"/>
        <v>22.131516911759931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675</v>
      </c>
      <c r="AG58" s="13">
        <f>VLOOKUP(A58,'Données projet'!$A$61:$I$81,9,0)</f>
        <v>17</v>
      </c>
      <c r="AH58" s="13">
        <f t="array" ref="AH58">INDEX(AG:AG,MIN(IF(ISNUMBER(AG58:AG254),ROW(AG58:AG254),"")))</f>
        <v>17</v>
      </c>
      <c r="AI58" s="14">
        <f>IF('Données projet'!$A$62&gt;35,AI57+AH58-AQ57,IF(A58&lt;'Données projet'!$A$62,$AF$205^A58,IF(A58='Données projet'!$A$62,'Données projet'!$B$62,AI57+AH58-AQ57)))</f>
        <v>675</v>
      </c>
      <c r="AJ58" s="14">
        <f>AI58*VLOOKUP('Données projet'!$B$10,Paramètres!$A$1:$I$89,3,0)*VLOOKUP('Données projet'!$B$10,Paramètres!$A$1:$I$89,5,0)</f>
        <v>377.32499999999999</v>
      </c>
      <c r="AK58" s="14">
        <f t="shared" si="35"/>
        <v>87.164160555496878</v>
      </c>
      <c r="AL58" s="22">
        <f t="shared" si="4"/>
        <v>808.98528796749042</v>
      </c>
      <c r="AM58" s="62">
        <f t="shared" si="5"/>
        <v>1102.3186213008237</v>
      </c>
      <c r="AN58" s="62">
        <f ca="1">AVERAGE(OFFSET($AM$3,0,0,'Données projet'!$E$10+1,1))-AVERAGE(OFFSET($H$3,0,0,'Données projet'!$E$10+1,1))</f>
        <v>512.21337090113502</v>
      </c>
      <c r="AO58" s="62">
        <f t="shared" si="36"/>
        <v>621.03633124474163</v>
      </c>
      <c r="AP58" s="16">
        <f>IF(ISNA(VLOOKUP(A58,'Données projet'!$A$61:$I$81,3,0)),0,VLOOKUP(A58,'Données projet'!$A$61:$I$81,3,0))</f>
        <v>9</v>
      </c>
      <c r="AQ58" s="16">
        <f>IF(ISNA(VLOOKUP(A58,'Données projet'!$A$61:$I$81,4,0)),0,VLOOKUP(A58,'Données projet'!$A$61:$I$81,4,0))</f>
        <v>67</v>
      </c>
      <c r="AR58" s="17">
        <f>IF(ISNA(VLOOKUP(A58,'Données projet'!$A$61:$I$81,5,0)),0%,VLOOKUP(A58,'Données projet'!$A$61:$I$81,5,0)*VLOOKUP('Données projet'!$B$10,Paramètres!$A$1:$I$89,7,0))</f>
        <v>0.41250000000000003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0.25</v>
      </c>
      <c r="AU58" s="23">
        <f>EXP(-LN(2)/35)*AU57+(1-EXP(-LN(2)/35))/(LN(2)/35)*AQ58*AR58*VLOOKUP('Données projet'!$B$10,Paramètres!$A$1:$I$89,3,0)*0.475*44/12</f>
        <v>68.946882018465601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14.234784493277335</v>
      </c>
      <c r="AX58" s="23">
        <f t="shared" si="6"/>
        <v>83.181666511742932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237</v>
      </c>
      <c r="BB58" s="13">
        <f>VLOOKUP(A58,'Données projet'!$A$87:$I$107,9,0)</f>
        <v>7.8</v>
      </c>
      <c r="BC58" s="13">
        <f t="array" ref="BC58">INDEX(BB:BB,MIN(IF(ISNUMBER(BB58:BB254),ROW(BB58:BB254),"")))</f>
        <v>7.8</v>
      </c>
      <c r="BD58" s="13">
        <f>IF('Données projet'!$A$88&gt;35,BD57+BC58-BL57,IF(A58&lt;'Données projet'!$A$88,$BA$205^A58,IF(A58='Données projet'!$A$88,'Données projet'!$B$88,BD57+BC58-BL57)))</f>
        <v>237.0000000000002</v>
      </c>
      <c r="BE58" s="14">
        <f>BD58*VLOOKUP('Données projet'!$B$11,Paramètres!$A$1:$I$89,3,0)*VLOOKUP('Données projet'!$B$11,Paramètres!$A$1:$I$89,5,0)</f>
        <v>207.04320000000018</v>
      </c>
      <c r="BF58" s="14">
        <f t="shared" si="37"/>
        <v>51.28891823180637</v>
      </c>
      <c r="BG58" s="22">
        <f t="shared" si="7"/>
        <v>449.92843925372966</v>
      </c>
      <c r="BH58" s="62">
        <f t="shared" si="8"/>
        <v>743.26177258706298</v>
      </c>
      <c r="BI58" s="62">
        <f ca="1">AVERAGE(OFFSET($BH$3,0,0,'Données projet'!$E$11+1,1))-AVERAGE(OFFSET($H$3,0,0,'Données projet'!$E$11+1,1))</f>
        <v>321.23599968992932</v>
      </c>
      <c r="BJ58" s="62">
        <f t="shared" si="38"/>
        <v>388.05195847800502</v>
      </c>
      <c r="BK58" s="16">
        <f>IF(ISNA(VLOOKUP(A58,'Données projet'!$A$87:$I$107,3,0)),0,VLOOKUP(A58,'Données projet'!$A$87:$I$107,3,0))</f>
        <v>9</v>
      </c>
      <c r="BL58" s="16">
        <f>IF(ISNA(VLOOKUP(A58,'Données projet'!$A$87:$I$107,4,0)),0,VLOOKUP(A58,'Données projet'!$A$87:$I$107,4,0))</f>
        <v>29</v>
      </c>
      <c r="BM58" s="17">
        <f>IF(ISNA(VLOOKUP(A58,'Données projet'!$A$87:$I$107,5,0)),0%,VLOOKUP(A58,'Données projet'!$A$87:$I$107,5,0)*VLOOKUP('Données projet'!$B$11,Paramètres!$A$1:$I$89,7,0))</f>
        <v>0.215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17.071885876654036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17.071885876654036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15.7</v>
      </c>
      <c r="N59" s="14">
        <f>IF('Données projet'!$A$36&gt;35,N58+M59-V58,IF(A59&lt;'Données projet'!$A$36,$K$205^A59,IF(A59='Données projet'!$A$36,'Données projet'!$B$36,N58+M59-V58)))</f>
        <v>330.20000000000005</v>
      </c>
      <c r="O59" s="14">
        <f>N59*VLOOKUP('Données projet'!$B$9,Paramètres!$A$1:$I$89,3,0)*VLOOKUP('Données projet'!$B$9,Paramètres!$A$1:$I$89,5,0)</f>
        <v>197.45960000000005</v>
      </c>
      <c r="P59" s="14">
        <f t="shared" si="33"/>
        <v>49.185450002435452</v>
      </c>
      <c r="Q59" s="22">
        <f t="shared" si="53"/>
        <v>429.57346208757514</v>
      </c>
      <c r="R59" s="62">
        <f t="shared" si="0"/>
        <v>722.90679542090845</v>
      </c>
      <c r="S59" s="62">
        <f ca="1">AVERAGE(OFFSET($R$3,0,0,'Données projet'!$E$9+1,1))-AVERAGE(OFFSET($H$3,0,0,'Données projet'!$E$9+1,1))</f>
        <v>295.83974441964551</v>
      </c>
      <c r="T59" s="62">
        <f t="shared" si="34"/>
        <v>212.24900914818096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16.969475784838256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3.4101103457799744</v>
      </c>
      <c r="AC59" s="24">
        <f t="shared" si="3"/>
        <v>20.379586130618229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15.8</v>
      </c>
      <c r="AI59" s="14">
        <f>IF('Données projet'!$A$62&gt;35,AI58+AH59-AQ58,IF(A59&lt;'Données projet'!$A$62,$AF$205^A59,IF(A59='Données projet'!$A$62,'Données projet'!$B$62,AI58+AH59-AQ58)))</f>
        <v>623.79999999999995</v>
      </c>
      <c r="AJ59" s="14">
        <f>AI59*VLOOKUP('Données projet'!$B$10,Paramètres!$A$1:$I$89,3,0)*VLOOKUP('Données projet'!$B$10,Paramètres!$A$1:$I$89,5,0)</f>
        <v>348.70420000000001</v>
      </c>
      <c r="AK59" s="14">
        <f t="shared" si="35"/>
        <v>81.295634988912099</v>
      </c>
      <c r="AL59" s="22">
        <f t="shared" si="4"/>
        <v>748.91637927235524</v>
      </c>
      <c r="AM59" s="62">
        <f t="shared" si="5"/>
        <v>1042.2497126056885</v>
      </c>
      <c r="AN59" s="62">
        <f ca="1">AVERAGE(OFFSET($AM$3,0,0,'Données projet'!$E$10+1,1))-AVERAGE(OFFSET($H$3,0,0,'Données projet'!$E$10+1,1))</f>
        <v>512.21337090113502</v>
      </c>
      <c r="AO59" s="62">
        <f t="shared" si="36"/>
        <v>621.03633124474163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67.594875715529085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10.065512643925517</v>
      </c>
      <c r="AX59" s="23">
        <f t="shared" si="6"/>
        <v>77.660388359454601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6.8</v>
      </c>
      <c r="BD59" s="13">
        <f>IF('Données projet'!$A$88&gt;35,BD58+BC59-BL58,IF(A59&lt;'Données projet'!$A$88,$BA$205^A59,IF(A59='Données projet'!$A$88,'Données projet'!$B$88,BD58+BC59-BL58)))</f>
        <v>214.80000000000021</v>
      </c>
      <c r="BE59" s="14">
        <f>BD59*VLOOKUP('Données projet'!$B$11,Paramètres!$A$1:$I$89,3,0)*VLOOKUP('Données projet'!$B$11,Paramètres!$A$1:$I$89,5,0)</f>
        <v>187.6492800000002</v>
      </c>
      <c r="BF59" s="14">
        <f t="shared" si="37"/>
        <v>47.019866076567546</v>
      </c>
      <c r="BG59" s="22">
        <f t="shared" si="7"/>
        <v>408.71542941668878</v>
      </c>
      <c r="BH59" s="62">
        <f t="shared" si="8"/>
        <v>702.04876275002209</v>
      </c>
      <c r="BI59" s="62">
        <f ca="1">AVERAGE(OFFSET($BH$3,0,0,'Données projet'!$E$11+1,1))-AVERAGE(OFFSET($H$3,0,0,'Données projet'!$E$11+1,1))</f>
        <v>321.23599968992932</v>
      </c>
      <c r="BJ59" s="62">
        <f t="shared" si="38"/>
        <v>388.05195847800502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16.737116607435055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16.737116607435055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15.7</v>
      </c>
      <c r="N60" s="14">
        <f>IF('Données projet'!$A$36&gt;35,N59+M60-V59,IF(A60&lt;'Données projet'!$A$36,$K$205^A60,IF(A60='Données projet'!$A$36,'Données projet'!$B$36,N59+M60-V59)))</f>
        <v>345.90000000000003</v>
      </c>
      <c r="O60" s="14">
        <f>N60*VLOOKUP('Données projet'!$B$9,Paramètres!$A$1:$I$89,3,0)*VLOOKUP('Données projet'!$B$9,Paramètres!$A$1:$I$89,5,0)</f>
        <v>206.84820000000005</v>
      </c>
      <c r="P60" s="14">
        <f t="shared" si="33"/>
        <v>51.246233092829954</v>
      </c>
      <c r="Q60" s="22">
        <f t="shared" si="53"/>
        <v>449.51447097001227</v>
      </c>
      <c r="R60" s="62">
        <f t="shared" si="0"/>
        <v>742.84780430334558</v>
      </c>
      <c r="S60" s="62">
        <f ca="1">AVERAGE(OFFSET($R$3,0,0,'Données projet'!$E$9+1,1))-AVERAGE(OFFSET($H$3,0,0,'Données projet'!$E$9+1,1))</f>
        <v>295.83974441964551</v>
      </c>
      <c r="T60" s="62">
        <f t="shared" si="34"/>
        <v>212.24900914818096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16.636714715055792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2.4113121500954224</v>
      </c>
      <c r="AC60" s="24">
        <f t="shared" si="3"/>
        <v>19.048026865151215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15.8</v>
      </c>
      <c r="AI60" s="14">
        <f>IF('Données projet'!$A$62&gt;35,AI59+AH60-AQ59,IF(A60&lt;'Données projet'!$A$62,$AF$205^A60,IF(A60='Données projet'!$A$62,'Données projet'!$B$62,AI59+AH60-AQ59)))</f>
        <v>639.59999999999991</v>
      </c>
      <c r="AJ60" s="14">
        <f>AI60*VLOOKUP('Données projet'!$B$10,Paramètres!$A$1:$I$89,3,0)*VLOOKUP('Données projet'!$B$10,Paramètres!$A$1:$I$89,5,0)</f>
        <v>357.53639999999996</v>
      </c>
      <c r="AK60" s="14">
        <f t="shared" si="35"/>
        <v>83.112404937533981</v>
      </c>
      <c r="AL60" s="22">
        <f t="shared" si="4"/>
        <v>767.46333526620492</v>
      </c>
      <c r="AM60" s="62">
        <f t="shared" si="5"/>
        <v>1060.7966685995382</v>
      </c>
      <c r="AN60" s="62">
        <f ca="1">AVERAGE(OFFSET($AM$3,0,0,'Données projet'!$E$10+1,1))-AVERAGE(OFFSET($H$3,0,0,'Données projet'!$E$10+1,1))</f>
        <v>512.21337090113502</v>
      </c>
      <c r="AO60" s="62">
        <f t="shared" si="36"/>
        <v>621.03633124474163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66.269381431550741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7.1173922466386683</v>
      </c>
      <c r="AX60" s="23">
        <f t="shared" si="6"/>
        <v>73.386773678189414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6.8</v>
      </c>
      <c r="BD60" s="13">
        <f>IF('Données projet'!$A$88&gt;35,BD59+BC60-BL59,IF(A60&lt;'Données projet'!$A$88,$BA$205^A60,IF(A60='Données projet'!$A$88,'Données projet'!$B$88,BD59+BC60-BL59)))</f>
        <v>221.60000000000022</v>
      </c>
      <c r="BE60" s="14">
        <f>BD60*VLOOKUP('Données projet'!$B$11,Paramètres!$A$1:$I$89,3,0)*VLOOKUP('Données projet'!$B$11,Paramètres!$A$1:$I$89,5,0)</f>
        <v>193.58976000000021</v>
      </c>
      <c r="BF60" s="14">
        <f t="shared" si="37"/>
        <v>48.332731202087132</v>
      </c>
      <c r="BG60" s="22">
        <f t="shared" si="7"/>
        <v>421.34833884363542</v>
      </c>
      <c r="BH60" s="62">
        <f t="shared" si="8"/>
        <v>714.68167217696873</v>
      </c>
      <c r="BI60" s="62">
        <f ca="1">AVERAGE(OFFSET($BH$3,0,0,'Données projet'!$E$11+1,1))-AVERAGE(OFFSET($H$3,0,0,'Données projet'!$E$11+1,1))</f>
        <v>321.23599968992932</v>
      </c>
      <c r="BJ60" s="62">
        <f t="shared" si="38"/>
        <v>388.05195847800502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16.408911959396367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16.408911959396367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15.7</v>
      </c>
      <c r="N61" s="14">
        <f>IF('Données projet'!$A$36&gt;35,N60+M61-V60,IF(A61&lt;'Données projet'!$A$36,$K$205^A61,IF(A61='Données projet'!$A$36,'Données projet'!$B$36,N60+M61-V60)))</f>
        <v>361.6</v>
      </c>
      <c r="O61" s="14">
        <f>N61*VLOOKUP('Données projet'!$B$9,Paramètres!$A$1:$I$89,3,0)*VLOOKUP('Données projet'!$B$9,Paramètres!$A$1:$I$89,5,0)</f>
        <v>216.23680000000002</v>
      </c>
      <c r="P61" s="14">
        <f t="shared" si="33"/>
        <v>53.296153300267918</v>
      </c>
      <c r="Q61" s="22">
        <f t="shared" si="53"/>
        <v>469.43656033129997</v>
      </c>
      <c r="R61" s="62">
        <f t="shared" si="0"/>
        <v>762.76989366463329</v>
      </c>
      <c r="S61" s="62">
        <f ca="1">AVERAGE(OFFSET($R$3,0,0,'Données projet'!$E$9+1,1))-AVERAGE(OFFSET($H$3,0,0,'Données projet'!$E$9+1,1))</f>
        <v>295.83974441964551</v>
      </c>
      <c r="T61" s="62">
        <f t="shared" si="34"/>
        <v>212.24900914818096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16.310478886887552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1.7050551728899874</v>
      </c>
      <c r="AC61" s="24">
        <f t="shared" si="3"/>
        <v>18.01553405977754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15.8</v>
      </c>
      <c r="AI61" s="14">
        <f>IF('Données projet'!$A$62&gt;35,AI60+AH61-AQ60,IF(A61&lt;'Données projet'!$A$62,$AF$205^A61,IF(A61='Données projet'!$A$62,'Données projet'!$B$62,AI60+AH61-AQ60)))</f>
        <v>655.39999999999986</v>
      </c>
      <c r="AJ61" s="14">
        <f>AI61*VLOOKUP('Données projet'!$B$10,Paramètres!$A$1:$I$89,3,0)*VLOOKUP('Données projet'!$B$10,Paramètres!$A$1:$I$89,5,0)</f>
        <v>366.36859999999996</v>
      </c>
      <c r="AK61" s="14">
        <f t="shared" si="35"/>
        <v>84.923957848244868</v>
      </c>
      <c r="AL61" s="22">
        <f t="shared" si="4"/>
        <v>786.00120491902635</v>
      </c>
      <c r="AM61" s="62">
        <f t="shared" si="5"/>
        <v>1079.3345382523596</v>
      </c>
      <c r="AN61" s="62">
        <f ca="1">AVERAGE(OFFSET($AM$3,0,0,'Données projet'!$E$10+1,1))-AVERAGE(OFFSET($H$3,0,0,'Données projet'!$E$10+1,1))</f>
        <v>512.21337090113502</v>
      </c>
      <c r="AO61" s="62">
        <f t="shared" si="36"/>
        <v>621.03633124474163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64.969879282009529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5.0327563219627587</v>
      </c>
      <c r="AX61" s="23">
        <f t="shared" si="6"/>
        <v>70.002635603972294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6.8</v>
      </c>
      <c r="BD61" s="13">
        <f>IF('Données projet'!$A$88&gt;35,BD60+BC61-BL60,IF(A61&lt;'Données projet'!$A$88,$BA$205^A61,IF(A61='Données projet'!$A$88,'Données projet'!$B$88,BD60+BC61-BL60)))</f>
        <v>228.40000000000023</v>
      </c>
      <c r="BE61" s="14">
        <f>BD61*VLOOKUP('Données projet'!$B$11,Paramètres!$A$1:$I$89,3,0)*VLOOKUP('Données projet'!$B$11,Paramètres!$A$1:$I$89,5,0)</f>
        <v>199.53024000000022</v>
      </c>
      <c r="BF61" s="14">
        <f t="shared" si="37"/>
        <v>49.640914570461312</v>
      </c>
      <c r="BG61" s="22">
        <f t="shared" si="7"/>
        <v>433.97309421022049</v>
      </c>
      <c r="BH61" s="62">
        <f t="shared" si="8"/>
        <v>727.30642754355381</v>
      </c>
      <c r="BI61" s="62">
        <f ca="1">AVERAGE(OFFSET($BH$3,0,0,'Données projet'!$E$11+1,1))-AVERAGE(OFFSET($H$3,0,0,'Données projet'!$E$11+1,1))</f>
        <v>321.23599968992932</v>
      </c>
      <c r="BJ61" s="62">
        <f t="shared" si="38"/>
        <v>388.05195847800502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16.087143204320647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16.087143204320647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15.7</v>
      </c>
      <c r="N62" s="14">
        <f>IF('Données projet'!$A$36&gt;35,N61+M62-V61,IF(A62&lt;'Données projet'!$A$36,$K$205^A62,IF(A62='Données projet'!$A$36,'Données projet'!$B$36,N61+M62-V61)))</f>
        <v>377.3</v>
      </c>
      <c r="O62" s="14">
        <f>N62*VLOOKUP('Données projet'!$B$9,Paramètres!$A$1:$I$89,3,0)*VLOOKUP('Données projet'!$B$9,Paramètres!$A$1:$I$89,5,0)</f>
        <v>225.62540000000004</v>
      </c>
      <c r="P62" s="14">
        <f t="shared" si="33"/>
        <v>55.335736179321074</v>
      </c>
      <c r="Q62" s="22">
        <f t="shared" si="53"/>
        <v>489.34064551231751</v>
      </c>
      <c r="R62" s="62">
        <f t="shared" si="0"/>
        <v>782.67397884565082</v>
      </c>
      <c r="S62" s="62">
        <f ca="1">AVERAGE(OFFSET($R$3,0,0,'Données projet'!$E$9+1,1))-AVERAGE(OFFSET($H$3,0,0,'Données projet'!$E$9+1,1))</f>
        <v>295.83974441964551</v>
      </c>
      <c r="T62" s="62">
        <f t="shared" si="34"/>
        <v>212.24900914818096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15.990640344325485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1.2056560750477114</v>
      </c>
      <c r="AC62" s="24">
        <f t="shared" si="3"/>
        <v>17.196296419373198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15.8</v>
      </c>
      <c r="AI62" s="14">
        <f>IF('Données projet'!$A$62&gt;35,AI61+AH62-AQ61,IF(A62&lt;'Données projet'!$A$62,$AF$205^A62,IF(A62='Données projet'!$A$62,'Données projet'!$B$62,AI61+AH62-AQ61)))</f>
        <v>671.19999999999982</v>
      </c>
      <c r="AJ62" s="14">
        <f>AI62*VLOOKUP('Données projet'!$B$10,Paramètres!$A$1:$I$89,3,0)*VLOOKUP('Données projet'!$B$10,Paramètres!$A$1:$I$89,5,0)</f>
        <v>375.2007999999999</v>
      </c>
      <c r="AK62" s="14">
        <f t="shared" si="35"/>
        <v>86.730433960542896</v>
      </c>
      <c r="AL62" s="22">
        <f t="shared" si="4"/>
        <v>804.53023248127863</v>
      </c>
      <c r="AM62" s="62">
        <f t="shared" si="5"/>
        <v>1097.863565814612</v>
      </c>
      <c r="AN62" s="62">
        <f ca="1">AVERAGE(OFFSET($AM$3,0,0,'Données projet'!$E$10+1,1))-AVERAGE(OFFSET($H$3,0,0,'Données projet'!$E$10+1,1))</f>
        <v>512.21337090113502</v>
      </c>
      <c r="AO62" s="62">
        <f t="shared" si="36"/>
        <v>621.03633124474163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63.695859577002771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3.5586961233193342</v>
      </c>
      <c r="AX62" s="23">
        <f t="shared" si="6"/>
        <v>67.254555700322101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6.8</v>
      </c>
      <c r="BD62" s="13">
        <f>IF('Données projet'!$A$88&gt;35,BD61+BC62-BL61,IF(A62&lt;'Données projet'!$A$88,$BA$205^A62,IF(A62='Données projet'!$A$88,'Données projet'!$B$88,BD61+BC62-BL61)))</f>
        <v>235.20000000000024</v>
      </c>
      <c r="BE62" s="14">
        <f>BD62*VLOOKUP('Données projet'!$B$11,Paramètres!$A$1:$I$89,3,0)*VLOOKUP('Données projet'!$B$11,Paramètres!$A$1:$I$89,5,0)</f>
        <v>205.47072000000026</v>
      </c>
      <c r="BF62" s="14">
        <f t="shared" si="37"/>
        <v>50.944571570352757</v>
      </c>
      <c r="BG62" s="22">
        <f t="shared" si="7"/>
        <v>446.58996615169809</v>
      </c>
      <c r="BH62" s="62">
        <f t="shared" si="8"/>
        <v>739.92329948503141</v>
      </c>
      <c r="BI62" s="62">
        <f ca="1">AVERAGE(OFFSET($BH$3,0,0,'Données projet'!$E$11+1,1))-AVERAGE(OFFSET($H$3,0,0,'Données projet'!$E$11+1,1))</f>
        <v>321.23599968992932</v>
      </c>
      <c r="BJ62" s="62">
        <f t="shared" si="38"/>
        <v>388.05195847800502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15.7716841382724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15.7716841382724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393</v>
      </c>
      <c r="L63" s="13">
        <f>VLOOKUP(A63,'Données projet'!$A$35:$I$55,9,0)</f>
        <v>15.7</v>
      </c>
      <c r="M63" s="13">
        <f t="array" ref="M63">INDEX(L:L,MIN(IF(ISNUMBER(L63:L259),ROW(L63:L259),"")))</f>
        <v>15.7</v>
      </c>
      <c r="N63" s="14">
        <f>IF('Données projet'!$A$36&gt;35,N62+M63-V62,IF(A63&lt;'Données projet'!$A$36,$K$205^A63,IF(A63='Données projet'!$A$36,'Données projet'!$B$36,N62+M63-V62)))</f>
        <v>393</v>
      </c>
      <c r="O63" s="14">
        <f>N63*VLOOKUP('Données projet'!$B$9,Paramètres!$A$1:$I$89,3,0)*VLOOKUP('Données projet'!$B$9,Paramètres!$A$1:$I$89,5,0)</f>
        <v>235.01400000000001</v>
      </c>
      <c r="P63" s="14">
        <f t="shared" si="33"/>
        <v>57.365461071820548</v>
      </c>
      <c r="Q63" s="22">
        <f t="shared" si="53"/>
        <v>509.22756136675412</v>
      </c>
      <c r="R63" s="62">
        <f t="shared" si="0"/>
        <v>802.56089470008737</v>
      </c>
      <c r="S63" s="62">
        <f ca="1">AVERAGE(OFFSET($R$3,0,0,'Données projet'!$E$9+1,1))-AVERAGE(OFFSET($H$3,0,0,'Données projet'!$E$9+1,1))</f>
        <v>295.83974441964551</v>
      </c>
      <c r="T63" s="62">
        <f t="shared" si="34"/>
        <v>212.24900914818096</v>
      </c>
      <c r="U63" s="16">
        <f>IF(ISNA(VLOOKUP(A63,'Données projet'!$A$35:$I$55,3,0)),0,VLOOKUP(A63,'Données projet'!$A$35:$I$55,3,0))</f>
        <v>6</v>
      </c>
      <c r="V63" s="16">
        <f>IF(ISNA(VLOOKUP(A63,'Données projet'!$A$35:$I$55,4,0)),0,VLOOKUP(A63,'Données projet'!$A$35:$I$55,4,0))</f>
        <v>88</v>
      </c>
      <c r="W63" s="17">
        <f>IF(ISNA(VLOOKUP(A63,'Données projet'!$A$35:$I$55,5,0)),0%,VLOOKUP(A63,'Données projet'!$A$35:$I$55,5,0)*VLOOKUP('Données projet'!$B$9,Paramètres!$A$1:$I$89,7,0))</f>
        <v>0.29250000000000004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0.35</v>
      </c>
      <c r="Z63" s="23">
        <f>EXP(-LN(2)/35)*Z62+(1-EXP(-LN(2)/35))/(LN(2)/35)*V63*W63*VLOOKUP('Données projet'!$B$9,Paramètres!$A$1:$I$89,3,0)*0.475*44/12</f>
        <v>36.096243552143051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21.706434935206449</v>
      </c>
      <c r="AC63" s="24">
        <f t="shared" si="3"/>
        <v>57.802678487349496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687</v>
      </c>
      <c r="AG63" s="13">
        <f>VLOOKUP(A63,'Données projet'!$A$61:$I$81,9,0)</f>
        <v>15.8</v>
      </c>
      <c r="AH63" s="13">
        <f t="array" ref="AH63">INDEX(AG:AG,MIN(IF(ISNUMBER(AG63:AG259),ROW(AG63:AG259),"")))</f>
        <v>15.8</v>
      </c>
      <c r="AI63" s="14">
        <f>IF('Données projet'!$A$62&gt;35,AI62+AH63-AQ62,IF(A63&lt;'Données projet'!$A$62,$AF$205^A63,IF(A63='Données projet'!$A$62,'Données projet'!$B$62,AI62+AH63-AQ62)))</f>
        <v>686.99999999999977</v>
      </c>
      <c r="AJ63" s="14">
        <f>AI63*VLOOKUP('Données projet'!$B$10,Paramètres!$A$1:$I$89,3,0)*VLOOKUP('Données projet'!$B$10,Paramètres!$A$1:$I$89,5,0)</f>
        <v>384.0329999999999</v>
      </c>
      <c r="AK63" s="14">
        <f t="shared" si="35"/>
        <v>88.531966534830488</v>
      </c>
      <c r="AL63" s="22">
        <f t="shared" si="4"/>
        <v>823.05065004816288</v>
      </c>
      <c r="AM63" s="62">
        <f t="shared" si="5"/>
        <v>1116.3839833814961</v>
      </c>
      <c r="AN63" s="62">
        <f ca="1">AVERAGE(OFFSET($AM$3,0,0,'Données projet'!$E$10+1,1))-AVERAGE(OFFSET($H$3,0,0,'Données projet'!$E$10+1,1))</f>
        <v>512.21337090113502</v>
      </c>
      <c r="AO63" s="62">
        <f t="shared" si="36"/>
        <v>621.03633124474163</v>
      </c>
      <c r="AP63" s="16">
        <f>IF(ISNA(VLOOKUP(A63,'Données projet'!$A$61:$I$81,3,0)),0,VLOOKUP(A63,'Données projet'!$A$61:$I$81,3,0))</f>
        <v>10</v>
      </c>
      <c r="AQ63" s="16">
        <f>IF(ISNA(VLOOKUP(A63,'Données projet'!$A$61:$I$81,4,0)),0,VLOOKUP(A63,'Données projet'!$A$61:$I$81,4,0))</f>
        <v>61</v>
      </c>
      <c r="AR63" s="17">
        <f>IF(ISNA(VLOOKUP(A63,'Données projet'!$A$61:$I$81,5,0)),0%,VLOOKUP(A63,'Données projet'!$A$61:$I$81,5,0)*VLOOKUP('Données projet'!$B$10,Paramètres!$A$1:$I$89,7,0))</f>
        <v>0.46750000000000003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0.15</v>
      </c>
      <c r="AU63" s="23">
        <f>EXP(-LN(2)/35)*AU62+(1-EXP(-LN(2)/35))/(LN(2)/35)*AQ63*AR63*VLOOKUP('Données projet'!$B$10,Paramètres!$A$1:$I$89,3,0)*0.475*44/12</f>
        <v>83.593961359956282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8.3075765279846223</v>
      </c>
      <c r="AX63" s="23">
        <f t="shared" si="6"/>
        <v>91.901537887940904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242</v>
      </c>
      <c r="BB63" s="13">
        <f>VLOOKUP(A63,'Données projet'!$A$87:$I$107,9,0)</f>
        <v>6.8</v>
      </c>
      <c r="BC63" s="13">
        <f t="array" ref="BC63">INDEX(BB:BB,MIN(IF(ISNUMBER(BB63:BB259),ROW(BB63:BB259),"")))</f>
        <v>6.8</v>
      </c>
      <c r="BD63" s="13">
        <f>IF('Données projet'!$A$88&gt;35,BD62+BC63-BL62,IF(A63&lt;'Données projet'!$A$88,$BA$205^A63,IF(A63='Données projet'!$A$88,'Données projet'!$B$88,BD62+BC63-BL62)))</f>
        <v>242.00000000000026</v>
      </c>
      <c r="BE63" s="14">
        <f>BD63*VLOOKUP('Données projet'!$B$11,Paramètres!$A$1:$I$89,3,0)*VLOOKUP('Données projet'!$B$11,Paramètres!$A$1:$I$89,5,0)</f>
        <v>211.41120000000024</v>
      </c>
      <c r="BF63" s="14">
        <f t="shared" si="37"/>
        <v>52.243848094411206</v>
      </c>
      <c r="BG63" s="22">
        <f t="shared" si="7"/>
        <v>459.19920876443319</v>
      </c>
      <c r="BH63" s="62">
        <f t="shared" si="8"/>
        <v>752.53254209776651</v>
      </c>
      <c r="BI63" s="62">
        <f ca="1">AVERAGE(OFFSET($BH$3,0,0,'Données projet'!$E$11+1,1))-AVERAGE(OFFSET($H$3,0,0,'Données projet'!$E$11+1,1))</f>
        <v>321.23599968992932</v>
      </c>
      <c r="BJ63" s="62">
        <f t="shared" si="38"/>
        <v>388.05195847800502</v>
      </c>
      <c r="BK63" s="16">
        <f>IF(ISNA(VLOOKUP(A63,'Données projet'!$A$87:$I$107,3,0)),0,VLOOKUP(A63,'Données projet'!$A$87:$I$107,3,0))</f>
        <v>10</v>
      </c>
      <c r="BL63" s="16">
        <f>IF(ISNA(VLOOKUP(A63,'Données projet'!$A$87:$I$107,4,0)),0,VLOOKUP(A63,'Données projet'!$A$87:$I$107,4,0))</f>
        <v>26</v>
      </c>
      <c r="BM63" s="17">
        <f>IF(ISNA(VLOOKUP(A63,'Données projet'!$A$87:$I$107,5,0)),0%,VLOOKUP(A63,'Données projet'!$A$87:$I$107,5,0)*VLOOKUP('Données projet'!$B$11,Paramètres!$A$1:$I$89,7,0))</f>
        <v>0.25800000000000001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21.940587731338709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21.940587731338709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14.3</v>
      </c>
      <c r="N64" s="14">
        <f>IF('Données projet'!$A$36&gt;35,N63+M64-V63,IF(A64&lt;'Données projet'!$A$36,$K$205^A64,IF(A64='Données projet'!$A$36,'Données projet'!$B$36,N63+M64-V63)))</f>
        <v>319.3</v>
      </c>
      <c r="O64" s="14">
        <f>N64*VLOOKUP('Données projet'!$B$9,Paramètres!$A$1:$I$89,3,0)*VLOOKUP('Données projet'!$B$9,Paramètres!$A$1:$I$89,5,0)</f>
        <v>190.94140000000002</v>
      </c>
      <c r="P64" s="14">
        <f t="shared" si="33"/>
        <v>47.748023117802013</v>
      </c>
      <c r="Q64" s="22">
        <f t="shared" si="53"/>
        <v>415.71741193017186</v>
      </c>
      <c r="R64" s="62">
        <f t="shared" si="0"/>
        <v>709.05074526350518</v>
      </c>
      <c r="S64" s="62">
        <f ca="1">AVERAGE(OFFSET($R$3,0,0,'Données projet'!$E$9+1,1))-AVERAGE(OFFSET($H$3,0,0,'Données projet'!$E$9+1,1))</f>
        <v>295.83974441964551</v>
      </c>
      <c r="T64" s="62">
        <f t="shared" si="34"/>
        <v>212.24900914818096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35.38841823262014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15.348767338069058</v>
      </c>
      <c r="AC64" s="24">
        <f t="shared" si="3"/>
        <v>50.737185570689199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14.8</v>
      </c>
      <c r="AI64" s="14">
        <f>IF('Données projet'!$A$62&gt;35,AI63+AH64-AQ63,IF(A64&lt;'Données projet'!$A$62,$AF$205^A64,IF(A64='Données projet'!$A$62,'Données projet'!$B$62,AI63+AH64-AQ63)))</f>
        <v>640.79999999999973</v>
      </c>
      <c r="AJ64" s="14">
        <f>AI64*VLOOKUP('Données projet'!$B$10,Paramètres!$A$1:$I$89,3,0)*VLOOKUP('Données projet'!$B$10,Paramètres!$A$1:$I$89,5,0)</f>
        <v>358.20719999999983</v>
      </c>
      <c r="AK64" s="14">
        <f t="shared" si="35"/>
        <v>83.25017249409899</v>
      </c>
      <c r="AL64" s="22">
        <f t="shared" si="4"/>
        <v>768.87159042722215</v>
      </c>
      <c r="AM64" s="62">
        <f t="shared" si="5"/>
        <v>1062.2049237605554</v>
      </c>
      <c r="AN64" s="62">
        <f ca="1">AVERAGE(OFFSET($AM$3,0,0,'Données projet'!$E$10+1,1))-AVERAGE(OFFSET($H$3,0,0,'Données projet'!$E$10+1,1))</f>
        <v>512.21337090113502</v>
      </c>
      <c r="AO64" s="62">
        <f t="shared" si="36"/>
        <v>621.03633124474163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81.954734764969388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5.8743436981641208</v>
      </c>
      <c r="AX64" s="23">
        <f t="shared" si="6"/>
        <v>87.829078463133513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6</v>
      </c>
      <c r="BD64" s="13">
        <f>IF('Données projet'!$A$88&gt;35,BD63+BC64-BL63,IF(A64&lt;'Données projet'!$A$88,$BA$205^A64,IF(A64='Données projet'!$A$88,'Données projet'!$B$88,BD63+BC64-BL63)))</f>
        <v>222.00000000000026</v>
      </c>
      <c r="BE64" s="14">
        <f>BD64*VLOOKUP('Données projet'!$B$11,Paramètres!$A$1:$I$89,3,0)*VLOOKUP('Données projet'!$B$11,Paramètres!$A$1:$I$89,5,0)</f>
        <v>193.93920000000023</v>
      </c>
      <c r="BF64" s="14">
        <f t="shared" si="37"/>
        <v>48.409811198069427</v>
      </c>
      <c r="BG64" s="22">
        <f t="shared" si="7"/>
        <v>422.09119450330468</v>
      </c>
      <c r="BH64" s="62">
        <f t="shared" si="8"/>
        <v>715.42452783663794</v>
      </c>
      <c r="BI64" s="62">
        <f ca="1">AVERAGE(OFFSET($BH$3,0,0,'Données projet'!$E$11+1,1))-AVERAGE(OFFSET($H$3,0,0,'Données projet'!$E$11+1,1))</f>
        <v>321.23599968992932</v>
      </c>
      <c r="BJ64" s="62">
        <f t="shared" si="38"/>
        <v>388.05195847800502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21.510346188364267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21.510346188364267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14.3</v>
      </c>
      <c r="N65" s="14">
        <f>IF('Données projet'!$A$36&gt;35,N64+M65-V64,IF(A65&lt;'Données projet'!$A$36,$K$205^A65,IF(A65='Données projet'!$A$36,'Données projet'!$B$36,N64+M65-V64)))</f>
        <v>333.6</v>
      </c>
      <c r="O65" s="14">
        <f>N65*VLOOKUP('Données projet'!$B$9,Paramètres!$A$1:$I$89,3,0)*VLOOKUP('Données projet'!$B$9,Paramètres!$A$1:$I$89,5,0)</f>
        <v>199.49280000000002</v>
      </c>
      <c r="P65" s="14">
        <f t="shared" si="33"/>
        <v>49.632684049228061</v>
      </c>
      <c r="Q65" s="22">
        <f t="shared" si="53"/>
        <v>433.89355138573887</v>
      </c>
      <c r="R65" s="62">
        <f t="shared" si="0"/>
        <v>727.22688471907213</v>
      </c>
      <c r="S65" s="62">
        <f ca="1">AVERAGE(OFFSET($R$3,0,0,'Données projet'!$E$9+1,1))-AVERAGE(OFFSET($H$3,0,0,'Données projet'!$E$9+1,1))</f>
        <v>295.83974441964551</v>
      </c>
      <c r="T65" s="62">
        <f t="shared" si="34"/>
        <v>212.24900914818096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34.69447293588226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10.853217467603226</v>
      </c>
      <c r="AC65" s="24">
        <f t="shared" si="3"/>
        <v>45.54769040348549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14.8</v>
      </c>
      <c r="AI65" s="14">
        <f>IF('Données projet'!$A$62&gt;35,AI64+AH65-AQ64,IF(A65&lt;'Données projet'!$A$62,$AF$205^A65,IF(A65='Données projet'!$A$62,'Données projet'!$B$62,AI64+AH65-AQ64)))</f>
        <v>655.59999999999968</v>
      </c>
      <c r="AJ65" s="14">
        <f>AI65*VLOOKUP('Données projet'!$B$10,Paramètres!$A$1:$I$89,3,0)*VLOOKUP('Données projet'!$B$10,Paramètres!$A$1:$I$89,5,0)</f>
        <v>366.4803999999998</v>
      </c>
      <c r="AK65" s="14">
        <f t="shared" si="35"/>
        <v>84.946856071194404</v>
      </c>
      <c r="AL65" s="22">
        <f t="shared" si="4"/>
        <v>786.23580432399649</v>
      </c>
      <c r="AM65" s="62">
        <f t="shared" si="5"/>
        <v>1079.5691376573297</v>
      </c>
      <c r="AN65" s="62">
        <f ca="1">AVERAGE(OFFSET($AM$3,0,0,'Données projet'!$E$10+1,1))-AVERAGE(OFFSET($H$3,0,0,'Données projet'!$E$10+1,1))</f>
        <v>512.21337090113502</v>
      </c>
      <c r="AO65" s="62">
        <f t="shared" si="36"/>
        <v>621.03633124474163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80.347652403680698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4.153788263992312</v>
      </c>
      <c r="AX65" s="23">
        <f t="shared" si="6"/>
        <v>84.501440667673009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6</v>
      </c>
      <c r="BD65" s="13">
        <f>IF('Données projet'!$A$88&gt;35,BD64+BC65-BL64,IF(A65&lt;'Données projet'!$A$88,$BA$205^A65,IF(A65='Données projet'!$A$88,'Données projet'!$B$88,BD64+BC65-BL64)))</f>
        <v>228.00000000000026</v>
      </c>
      <c r="BE65" s="14">
        <f>BD65*VLOOKUP('Données projet'!$B$11,Paramètres!$A$1:$I$89,3,0)*VLOOKUP('Données projet'!$B$11,Paramètres!$A$1:$I$89,5,0)</f>
        <v>199.18080000000023</v>
      </c>
      <c r="BF65" s="14">
        <f t="shared" si="37"/>
        <v>49.564089376413726</v>
      </c>
      <c r="BG65" s="22">
        <f t="shared" si="7"/>
        <v>433.23068233058763</v>
      </c>
      <c r="BH65" s="62">
        <f t="shared" si="8"/>
        <v>726.56401566392094</v>
      </c>
      <c r="BI65" s="62">
        <f ca="1">AVERAGE(OFFSET($BH$3,0,0,'Données projet'!$E$11+1,1))-AVERAGE(OFFSET($H$3,0,0,'Données projet'!$E$11+1,1))</f>
        <v>321.23599968992932</v>
      </c>
      <c r="BJ65" s="62">
        <f t="shared" si="38"/>
        <v>388.05195847800502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21.088541419626125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21.088541419626125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14.3</v>
      </c>
      <c r="N66" s="14">
        <f>IF('Données projet'!$A$36&gt;35,N65+M66-V65,IF(A66&lt;'Données projet'!$A$36,$K$205^A66,IF(A66='Données projet'!$A$36,'Données projet'!$B$36,N65+M66-V65)))</f>
        <v>347.90000000000003</v>
      </c>
      <c r="O66" s="14">
        <f>N66*VLOOKUP('Données projet'!$B$9,Paramètres!$A$1:$I$89,3,0)*VLOOKUP('Données projet'!$B$9,Paramètres!$A$1:$I$89,5,0)</f>
        <v>208.04420000000005</v>
      </c>
      <c r="P66" s="14">
        <f t="shared" si="33"/>
        <v>51.507961722634242</v>
      </c>
      <c r="Q66" s="22">
        <f t="shared" si="53"/>
        <v>452.05334833358802</v>
      </c>
      <c r="R66" s="62">
        <f t="shared" si="0"/>
        <v>745.38668166692128</v>
      </c>
      <c r="S66" s="62">
        <f ca="1">AVERAGE(OFFSET($R$3,0,0,'Données projet'!$E$9+1,1))-AVERAGE(OFFSET($H$3,0,0,'Données projet'!$E$9+1,1))</f>
        <v>295.83974441964551</v>
      </c>
      <c r="T66" s="62">
        <f t="shared" si="34"/>
        <v>212.24900914818096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34.014135483148571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7.6743836690345306</v>
      </c>
      <c r="AC66" s="24">
        <f t="shared" si="3"/>
        <v>41.688519152183105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14.8</v>
      </c>
      <c r="AI66" s="14">
        <f>IF('Données projet'!$A$62&gt;35,AI65+AH66-AQ65,IF(A66&lt;'Données projet'!$A$62,$AF$205^A66,IF(A66='Données projet'!$A$62,'Données projet'!$B$62,AI65+AH66-AQ65)))</f>
        <v>670.39999999999964</v>
      </c>
      <c r="AJ66" s="14">
        <f>AI66*VLOOKUP('Données projet'!$B$10,Paramètres!$A$1:$I$89,3,0)*VLOOKUP('Données projet'!$B$10,Paramètres!$A$1:$I$89,5,0)</f>
        <v>374.75359999999978</v>
      </c>
      <c r="AK66" s="14">
        <f t="shared" si="35"/>
        <v>86.6390867259218</v>
      </c>
      <c r="AL66" s="22">
        <f t="shared" si="4"/>
        <v>803.59226271431351</v>
      </c>
      <c r="AM66" s="62">
        <f t="shared" si="5"/>
        <v>1096.9255960476469</v>
      </c>
      <c r="AN66" s="62">
        <f ca="1">AVERAGE(OFFSET($AM$3,0,0,'Données projet'!$E$10+1,1))-AVERAGE(OFFSET($H$3,0,0,'Données projet'!$E$10+1,1))</f>
        <v>512.21337090113502</v>
      </c>
      <c r="AO66" s="62">
        <f t="shared" si="36"/>
        <v>621.03633124474163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78.77208394727343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2.9371718490820613</v>
      </c>
      <c r="AX66" s="23">
        <f t="shared" si="6"/>
        <v>81.709255796355492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6</v>
      </c>
      <c r="BD66" s="13">
        <f>IF('Données projet'!$A$88&gt;35,BD65+BC66-BL65,IF(A66&lt;'Données projet'!$A$88,$BA$205^A66,IF(A66='Données projet'!$A$88,'Données projet'!$B$88,BD65+BC66-BL65)))</f>
        <v>234.00000000000026</v>
      </c>
      <c r="BE66" s="14">
        <f>BD66*VLOOKUP('Données projet'!$B$11,Paramètres!$A$1:$I$89,3,0)*VLOOKUP('Données projet'!$B$11,Paramètres!$A$1:$I$89,5,0)</f>
        <v>204.42240000000027</v>
      </c>
      <c r="BF66" s="14">
        <f t="shared" si="37"/>
        <v>50.714836797527354</v>
      </c>
      <c r="BG66" s="22">
        <f t="shared" si="7"/>
        <v>444.36402075569396</v>
      </c>
      <c r="BH66" s="62">
        <f t="shared" si="8"/>
        <v>737.69735408902727</v>
      </c>
      <c r="BI66" s="62">
        <f ca="1">AVERAGE(OFFSET($BH$3,0,0,'Données projet'!$E$11+1,1))-AVERAGE(OFFSET($H$3,0,0,'Données projet'!$E$11+1,1))</f>
        <v>321.23599968992932</v>
      </c>
      <c r="BJ66" s="62">
        <f t="shared" si="38"/>
        <v>388.05195847800502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20.675007985127433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20.675007985127433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14.3</v>
      </c>
      <c r="N67" s="14">
        <f>IF('Données projet'!$A$36&gt;35,N66+M67-V66,IF(A67&lt;'Données projet'!$A$36,$K$205^A67,IF(A67='Données projet'!$A$36,'Données projet'!$B$36,N66+M67-V66)))</f>
        <v>362.20000000000005</v>
      </c>
      <c r="O67" s="14">
        <f>N67*VLOOKUP('Données projet'!$B$9,Paramètres!$A$1:$I$89,3,0)*VLOOKUP('Données projet'!$B$9,Paramètres!$A$1:$I$89,5,0)</f>
        <v>216.59560000000005</v>
      </c>
      <c r="P67" s="14">
        <f t="shared" si="33"/>
        <v>53.374285937607603</v>
      </c>
      <c r="Q67" s="22">
        <f t="shared" ref="Q67:Q98" si="54">(O67+P67)*0.475*44/12</f>
        <v>470.19755134133334</v>
      </c>
      <c r="R67" s="62">
        <f t="shared" ref="R67:R130" si="55">Q67+(I67+J67)*44/12</f>
        <v>763.53088467466659</v>
      </c>
      <c r="S67" s="62">
        <f ca="1">AVERAGE(OFFSET($R$3,0,0,'Données projet'!$E$9+1,1))-AVERAGE(OFFSET($H$3,0,0,'Données projet'!$E$9+1,1))</f>
        <v>295.83974441964551</v>
      </c>
      <c r="T67" s="62">
        <f t="shared" si="34"/>
        <v>212.24900914818096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33.34713903289812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5.426608733801614</v>
      </c>
      <c r="AC67" s="24">
        <f t="shared" si="3"/>
        <v>38.773747766699735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14.8</v>
      </c>
      <c r="AI67" s="14">
        <f>IF('Données projet'!$A$62&gt;35,AI66+AH67-AQ66,IF(A67&lt;'Données projet'!$A$62,$AF$205^A67,IF(A67='Données projet'!$A$62,'Données projet'!$B$62,AI66+AH67-AQ66)))</f>
        <v>685.19999999999959</v>
      </c>
      <c r="AJ67" s="14">
        <f>AI67*VLOOKUP('Données projet'!$B$10,Paramètres!$A$1:$I$89,3,0)*VLOOKUP('Données projet'!$B$10,Paramètres!$A$1:$I$89,5,0)</f>
        <v>383.02679999999975</v>
      </c>
      <c r="AK67" s="14">
        <f t="shared" si="35"/>
        <v>88.326974082383998</v>
      </c>
      <c r="AL67" s="22">
        <f t="shared" si="4"/>
        <v>820.9411565268183</v>
      </c>
      <c r="AM67" s="62">
        <f t="shared" si="5"/>
        <v>1114.2744898601516</v>
      </c>
      <c r="AN67" s="62">
        <f ca="1">AVERAGE(OFFSET($AM$3,0,0,'Données projet'!$E$10+1,1))-AVERAGE(OFFSET($H$3,0,0,'Données projet'!$E$10+1,1))</f>
        <v>512.21337090113502</v>
      </c>
      <c r="AO67" s="62">
        <f t="shared" si="36"/>
        <v>621.03633124474163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77.227411427294442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2.0768941319961565</v>
      </c>
      <c r="AX67" s="23">
        <f t="shared" si="6"/>
        <v>79.304305559290597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6</v>
      </c>
      <c r="BD67" s="13">
        <f>IF('Données projet'!$A$88&gt;35,BD66+BC67-BL66,IF(A67&lt;'Données projet'!$A$88,$BA$205^A67,IF(A67='Données projet'!$A$88,'Données projet'!$B$88,BD66+BC67-BL66)))</f>
        <v>240.00000000000026</v>
      </c>
      <c r="BE67" s="14">
        <f>BD67*VLOOKUP('Données projet'!$B$11,Paramètres!$A$1:$I$89,3,0)*VLOOKUP('Données projet'!$B$11,Paramètres!$A$1:$I$89,5,0)</f>
        <v>209.66400000000024</v>
      </c>
      <c r="BF67" s="14">
        <f t="shared" si="37"/>
        <v>51.862154403304579</v>
      </c>
      <c r="BG67" s="22">
        <f t="shared" si="7"/>
        <v>455.49138558575584</v>
      </c>
      <c r="BH67" s="62">
        <f t="shared" si="8"/>
        <v>748.82471891908915</v>
      </c>
      <c r="BI67" s="62">
        <f ca="1">AVERAGE(OFFSET($BH$3,0,0,'Données projet'!$E$11+1,1))-AVERAGE(OFFSET($H$3,0,0,'Données projet'!$E$11+1,1))</f>
        <v>321.23599968992932</v>
      </c>
      <c r="BJ67" s="62">
        <f t="shared" si="38"/>
        <v>388.05195847800502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20.269583689048769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20.269583689048769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14.3</v>
      </c>
      <c r="N68" s="14">
        <f>IF('Données projet'!$A$36&gt;35,N67+M68-V67,IF(A68&lt;'Données projet'!$A$36,$K$205^A68,IF(A68='Données projet'!$A$36,'Données projet'!$B$36,N67+M68-V67)))</f>
        <v>376.50000000000006</v>
      </c>
      <c r="O68" s="14">
        <f>N68*VLOOKUP('Données projet'!$B$9,Paramètres!$A$1:$I$89,3,0)*VLOOKUP('Données projet'!$B$9,Paramètres!$A$1:$I$89,5,0)</f>
        <v>225.14700000000005</v>
      </c>
      <c r="P68" s="14">
        <f t="shared" si="33"/>
        <v>55.232050634645063</v>
      </c>
      <c r="Q68" s="22">
        <f t="shared" si="54"/>
        <v>488.32684652200686</v>
      </c>
      <c r="R68" s="62">
        <f t="shared" si="55"/>
        <v>781.66017985534017</v>
      </c>
      <c r="S68" s="62">
        <f ca="1">AVERAGE(OFFSET($R$3,0,0,'Données projet'!$E$9+1,1))-AVERAGE(OFFSET($H$3,0,0,'Données projet'!$E$9+1,1))</f>
        <v>295.83974441964551</v>
      </c>
      <c r="T68" s="62">
        <f t="shared" si="34"/>
        <v>212.24900914818096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32.693221976209415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3.8371918345172658</v>
      </c>
      <c r="AC68" s="24">
        <f t="shared" ref="AC68:AC131" si="57">SUM(Z68:AB68)</f>
        <v>36.530413810726678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700</v>
      </c>
      <c r="AG68" s="13">
        <f>VLOOKUP(A68,'Données projet'!$A$61:$I$81,9,0)</f>
        <v>14.8</v>
      </c>
      <c r="AH68" s="13">
        <f t="array" ref="AH68">INDEX(AG:AG,MIN(IF(ISNUMBER(AG68:AG264),ROW(AG68:AG264),"")))</f>
        <v>14.8</v>
      </c>
      <c r="AI68" s="14">
        <f>IF('Données projet'!$A$62&gt;35,AI67+AH68-AQ67,IF(A68&lt;'Données projet'!$A$62,$AF$205^A68,IF(A68='Données projet'!$A$62,'Données projet'!$B$62,AI67+AH68-AQ67)))</f>
        <v>699.99999999999955</v>
      </c>
      <c r="AJ68" s="14">
        <f>AI68*VLOOKUP('Données projet'!$B$10,Paramètres!$A$1:$I$89,3,0)*VLOOKUP('Données projet'!$B$10,Paramètres!$A$1:$I$89,5,0)</f>
        <v>391.29999999999973</v>
      </c>
      <c r="AK68" s="14">
        <f t="shared" si="35"/>
        <v>90.010622758534623</v>
      </c>
      <c r="AL68" s="22">
        <f t="shared" ref="AL68:AL131" si="58">(AJ68+AK68)*0.475*44/12</f>
        <v>838.28266797111394</v>
      </c>
      <c r="AM68" s="62">
        <f t="shared" ref="AM68:AM131" si="59">AL68+(AD68+AE68)*44/12</f>
        <v>1131.6160013044473</v>
      </c>
      <c r="AN68" s="62">
        <f ca="1">AVERAGE(OFFSET($AM$3,0,0,'Données projet'!$E$10+1,1))-AVERAGE(OFFSET($H$3,0,0,'Données projet'!$E$10+1,1))</f>
        <v>512.21337090113502</v>
      </c>
      <c r="AO68" s="62">
        <f t="shared" si="36"/>
        <v>621.03633124474163</v>
      </c>
      <c r="AP68" s="16">
        <f>IF(ISNA(VLOOKUP(A68,'Données projet'!$A$61:$I$81,3,0)),0,VLOOKUP(A68,'Données projet'!$A$61:$I$81,3,0))</f>
        <v>11</v>
      </c>
      <c r="AQ68" s="16">
        <f>IF(ISNA(VLOOKUP(A68,'Données projet'!$A$61:$I$81,4,0)),0,VLOOKUP(A68,'Données projet'!$A$61:$I$81,4,0))</f>
        <v>700</v>
      </c>
      <c r="AR68" s="17">
        <f>IF(ISNA(VLOOKUP(A68,'Données projet'!$A$61:$I$81,5,0)),0%,VLOOKUP(A68,'Données projet'!$A$61:$I$81,5,0)*VLOOKUP('Données projet'!$B$10,Paramètres!$A$1:$I$89,7,0))</f>
        <v>0.49500000000000005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0.1</v>
      </c>
      <c r="AU68" s="23">
        <f>EXP(-LN(2)/35)*AU67+(1-EXP(-LN(2)/35))/(LN(2)/35)*AQ68*AR68*VLOOKUP('Données projet'!$B$10,Paramètres!$A$1:$I$89,3,0)*0.475*44/12</f>
        <v>332.65994134295363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45.772835726751644</v>
      </c>
      <c r="AX68" s="23">
        <f t="shared" ref="AX68:AX131" si="60">SUM(AU68:AW68)</f>
        <v>378.43277706970525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246</v>
      </c>
      <c r="BB68" s="13">
        <f>VLOOKUP(A68,'Données projet'!$A$87:$I$107,9,0)</f>
        <v>6</v>
      </c>
      <c r="BC68" s="13">
        <f t="array" ref="BC68">INDEX(BB:BB,MIN(IF(ISNUMBER(BB68:BB264),ROW(BB68:BB264),"")))</f>
        <v>6</v>
      </c>
      <c r="BD68" s="13">
        <f>IF('Données projet'!$A$88&gt;35,BD67+BC68-BL67,IF(A68&lt;'Données projet'!$A$88,$BA$205^A68,IF(A68='Données projet'!$A$88,'Données projet'!$B$88,BD67+BC68-BL67)))</f>
        <v>246.00000000000026</v>
      </c>
      <c r="BE68" s="14">
        <f>BD68*VLOOKUP('Données projet'!$B$11,Paramètres!$A$1:$I$89,3,0)*VLOOKUP('Données projet'!$B$11,Paramètres!$A$1:$I$89,5,0)</f>
        <v>214.90560000000025</v>
      </c>
      <c r="BF68" s="14">
        <f t="shared" si="37"/>
        <v>53.006137800892375</v>
      </c>
      <c r="BG68" s="22">
        <f t="shared" ref="BG68:BG131" si="61">(BE68+BF68)*0.475*44/12</f>
        <v>466.61294333655468</v>
      </c>
      <c r="BH68" s="62">
        <f t="shared" ref="BH68:BH131" si="62">BG68+(AY68+AZ68)*44/12</f>
        <v>759.94627666988799</v>
      </c>
      <c r="BI68" s="62">
        <f ca="1">AVERAGE(OFFSET($BH$3,0,0,'Données projet'!$E$11+1,1))-AVERAGE(OFFSET($H$3,0,0,'Données projet'!$E$11+1,1))</f>
        <v>321.23599968992932</v>
      </c>
      <c r="BJ68" s="62">
        <f t="shared" si="38"/>
        <v>388.05195847800502</v>
      </c>
      <c r="BK68" s="16">
        <f>IF(ISNA(VLOOKUP(A68,'Données projet'!$A$87:$I$107,3,0)),0,VLOOKUP(A68,'Données projet'!$A$87:$I$107,3,0))</f>
        <v>11</v>
      </c>
      <c r="BL68" s="16">
        <f>IF(ISNA(VLOOKUP(A68,'Données projet'!$A$87:$I$107,4,0)),0,VLOOKUP(A68,'Données projet'!$A$87:$I$107,4,0))</f>
        <v>23</v>
      </c>
      <c r="BM68" s="17">
        <f>IF(ISNA(VLOOKUP(A68,'Données projet'!$A$87:$I$107,5,0)),0%,VLOOKUP(A68,'Données projet'!$A$87:$I$107,5,0)*VLOOKUP('Données projet'!$B$11,Paramètres!$A$1:$I$89,7,0))</f>
        <v>0.30099999999999999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26.557920083937585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26.557920083937585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14.3</v>
      </c>
      <c r="N69" s="14">
        <f>IF('Données projet'!$A$36&gt;35,N68+M69-V68,IF(A69&lt;'Données projet'!$A$36,$K$205^A69,IF(A69='Données projet'!$A$36,'Données projet'!$B$36,N68+M69-V68)))</f>
        <v>390.80000000000007</v>
      </c>
      <c r="O69" s="14">
        <f>N69*VLOOKUP('Données projet'!$B$9,Paramètres!$A$1:$I$89,3,0)*VLOOKUP('Données projet'!$B$9,Paramètres!$A$1:$I$89,5,0)</f>
        <v>233.69840000000005</v>
      </c>
      <c r="P69" s="14">
        <f t="shared" ref="P69:P132" si="87">EXP(-1.0587+0.8836*LN(O69)+0.284)</f>
        <v>57.081618134454175</v>
      </c>
      <c r="Q69" s="22">
        <f t="shared" si="54"/>
        <v>506.44186491750776</v>
      </c>
      <c r="R69" s="62">
        <f t="shared" si="55"/>
        <v>799.77519825084107</v>
      </c>
      <c r="S69" s="62">
        <f ca="1">AVERAGE(OFFSET($R$3,0,0,'Données projet'!$E$9+1,1))-AVERAGE(OFFSET($H$3,0,0,'Données projet'!$E$9+1,1))</f>
        <v>295.83974441964551</v>
      </c>
      <c r="T69" s="62">
        <f t="shared" ref="T69:T132" si="88">$T$3</f>
        <v>212.24900914818096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32.052127834152351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2.7133043669008075</v>
      </c>
      <c r="AC69" s="24">
        <f t="shared" si="57"/>
        <v>34.765432201053159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-4.5474735088646412E-13</v>
      </c>
      <c r="AJ69" s="14">
        <f>AI69*VLOOKUP('Données projet'!$B$10,Paramètres!$A$1:$I$89,3,0)*VLOOKUP('Données projet'!$B$10,Paramètres!$A$1:$I$89,5,0)</f>
        <v>-2.5420376914553347E-13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512.21337090113502</v>
      </c>
      <c r="AO69" s="62">
        <f t="shared" ref="AO69:AO132" si="90">$AO$3</f>
        <v>621.03633124474163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326.13668279574756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32.366282536523961</v>
      </c>
      <c r="AX69" s="23">
        <f t="shared" si="60"/>
        <v>358.50296533227151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5.2</v>
      </c>
      <c r="BD69" s="13">
        <f>IF('Données projet'!$A$88&gt;35,BD68+BC69-BL68,IF(A69&lt;'Données projet'!$A$88,$BA$205^A69,IF(A69='Données projet'!$A$88,'Données projet'!$B$88,BD68+BC69-BL68)))</f>
        <v>228.20000000000024</v>
      </c>
      <c r="BE69" s="14">
        <f>BD69*VLOOKUP('Données projet'!$B$11,Paramètres!$A$1:$I$89,3,0)*VLOOKUP('Données projet'!$B$11,Paramètres!$A$1:$I$89,5,0)</f>
        <v>199.35552000000024</v>
      </c>
      <c r="BF69" s="14">
        <f t="shared" ref="BF69:BF132" si="91">EXP(-1.0587+0.8836*LN(BE69)+0.284)</f>
        <v>49.602503932783272</v>
      </c>
      <c r="BG69" s="22">
        <f t="shared" si="61"/>
        <v>433.60189168293124</v>
      </c>
      <c r="BH69" s="62">
        <f t="shared" si="62"/>
        <v>726.93522501626455</v>
      </c>
      <c r="BI69" s="62">
        <f ca="1">AVERAGE(OFFSET($BH$3,0,0,'Données projet'!$E$11+1,1))-AVERAGE(OFFSET($H$3,0,0,'Données projet'!$E$11+1,1))</f>
        <v>321.23599968992932</v>
      </c>
      <c r="BJ69" s="62">
        <f t="shared" ref="BJ69:BJ132" si="92">$BJ$3</f>
        <v>388.05195847800502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26.03713546982333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26.03713546982333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14.3</v>
      </c>
      <c r="N70" s="14">
        <f>IF('Données projet'!$A$36&gt;35,N69+M70-V69,IF(A70&lt;'Données projet'!$A$36,$K$205^A70,IF(A70='Données projet'!$A$36,'Données projet'!$B$36,N69+M70-V69)))</f>
        <v>405.10000000000008</v>
      </c>
      <c r="O70" s="14">
        <f>N70*VLOOKUP('Données projet'!$B$9,Paramètres!$A$1:$I$89,3,0)*VLOOKUP('Données projet'!$B$9,Paramètres!$A$1:$I$89,5,0)</f>
        <v>242.24980000000005</v>
      </c>
      <c r="P70" s="14">
        <f t="shared" si="87"/>
        <v>58.923322739321947</v>
      </c>
      <c r="Q70" s="22">
        <f t="shared" si="54"/>
        <v>524.54318877098581</v>
      </c>
      <c r="R70" s="62">
        <f t="shared" si="55"/>
        <v>817.87652210431906</v>
      </c>
      <c r="S70" s="62">
        <f ca="1">AVERAGE(OFFSET($R$3,0,0,'Données projet'!$E$9+1,1))-AVERAGE(OFFSET($H$3,0,0,'Données projet'!$E$9+1,1))</f>
        <v>295.83974441964551</v>
      </c>
      <c r="T70" s="62">
        <f t="shared" si="88"/>
        <v>212.24900914818096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31.423605157192213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1.9185959172586333</v>
      </c>
      <c r="AC70" s="24">
        <f t="shared" si="57"/>
        <v>33.342201074450848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-4.5474735088646412E-13</v>
      </c>
      <c r="AJ70" s="14">
        <f>AI70*VLOOKUP('Données projet'!$B$10,Paramètres!$A$1:$I$89,3,0)*VLOOKUP('Données projet'!$B$10,Paramètres!$A$1:$I$89,5,0)</f>
        <v>-2.5420376914553347E-13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512.21337090113502</v>
      </c>
      <c r="AO70" s="62">
        <f t="shared" si="90"/>
        <v>621.03633124474163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319.74134136985737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22.886417863375826</v>
      </c>
      <c r="AX70" s="23">
        <f t="shared" si="60"/>
        <v>342.62775923323318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5.2</v>
      </c>
      <c r="BD70" s="13">
        <f>IF('Données projet'!$A$88&gt;35,BD69+BC70-BL69,IF(A70&lt;'Données projet'!$A$88,$BA$205^A70,IF(A70='Données projet'!$A$88,'Données projet'!$B$88,BD69+BC70-BL69)))</f>
        <v>233.40000000000023</v>
      </c>
      <c r="BE70" s="14">
        <f>BD70*VLOOKUP('Données projet'!$B$11,Paramètres!$A$1:$I$89,3,0)*VLOOKUP('Données projet'!$B$11,Paramètres!$A$1:$I$89,5,0)</f>
        <v>203.89824000000024</v>
      </c>
      <c r="BF70" s="14">
        <f t="shared" si="91"/>
        <v>50.599918019430255</v>
      </c>
      <c r="BG70" s="22">
        <f t="shared" si="61"/>
        <v>443.25095855050807</v>
      </c>
      <c r="BH70" s="62">
        <f t="shared" si="62"/>
        <v>736.58429188384139</v>
      </c>
      <c r="BI70" s="62">
        <f ca="1">AVERAGE(OFFSET($BH$3,0,0,'Données projet'!$E$11+1,1))-AVERAGE(OFFSET($H$3,0,0,'Données projet'!$E$11+1,1))</f>
        <v>321.23599968992932</v>
      </c>
      <c r="BJ70" s="62">
        <f t="shared" si="92"/>
        <v>388.05195847800502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25.526563124344605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25.526563124344605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14.3</v>
      </c>
      <c r="N71" s="14">
        <f>IF('Données projet'!$A$36&gt;35,N70+M71-V70,IF(A71&lt;'Données projet'!$A$36,$K$205^A71,IF(A71='Données projet'!$A$36,'Données projet'!$B$36,N70+M71-V70)))</f>
        <v>419.40000000000009</v>
      </c>
      <c r="O71" s="14">
        <f>N71*VLOOKUP('Données projet'!$B$9,Paramètres!$A$1:$I$89,3,0)*VLOOKUP('Données projet'!$B$9,Paramètres!$A$1:$I$89,5,0)</f>
        <v>250.80120000000008</v>
      </c>
      <c r="P71" s="14">
        <f t="shared" si="87"/>
        <v>60.757473811682686</v>
      </c>
      <c r="Q71" s="22">
        <f t="shared" si="54"/>
        <v>542.63135688868078</v>
      </c>
      <c r="R71" s="62">
        <f t="shared" si="55"/>
        <v>835.96469022201404</v>
      </c>
      <c r="S71" s="62">
        <f ca="1">AVERAGE(OFFSET($R$3,0,0,'Données projet'!$E$9+1,1))-AVERAGE(OFFSET($H$3,0,0,'Données projet'!$E$9+1,1))</f>
        <v>295.83974441964551</v>
      </c>
      <c r="T71" s="62">
        <f t="shared" si="88"/>
        <v>212.24900914818096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30.807407426566286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1.3566521834504039</v>
      </c>
      <c r="AC71" s="24">
        <f t="shared" si="57"/>
        <v>32.164059610016693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-4.5474735088646412E-13</v>
      </c>
      <c r="AJ71" s="14">
        <f>AI71*VLOOKUP('Données projet'!$B$10,Paramètres!$A$1:$I$89,3,0)*VLOOKUP('Données projet'!$B$10,Paramètres!$A$1:$I$89,5,0)</f>
        <v>-2.5420376914553347E-13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512.21337090113502</v>
      </c>
      <c r="AO71" s="62">
        <f t="shared" si="90"/>
        <v>621.03633124474163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313.47140868855575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16.183141268261984</v>
      </c>
      <c r="AX71" s="23">
        <f t="shared" si="60"/>
        <v>329.65454995681773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5.2</v>
      </c>
      <c r="BD71" s="13">
        <f>IF('Données projet'!$A$88&gt;35,BD70+BC71-BL70,IF(A71&lt;'Données projet'!$A$88,$BA$205^A71,IF(A71='Données projet'!$A$88,'Données projet'!$B$88,BD70+BC71-BL70)))</f>
        <v>238.60000000000022</v>
      </c>
      <c r="BE71" s="14">
        <f>BD71*VLOOKUP('Données projet'!$B$11,Paramètres!$A$1:$I$89,3,0)*VLOOKUP('Données projet'!$B$11,Paramètres!$A$1:$I$89,5,0)</f>
        <v>208.44096000000022</v>
      </c>
      <c r="BF71" s="14">
        <f t="shared" si="91"/>
        <v>51.594748621124261</v>
      </c>
      <c r="BG71" s="22">
        <f t="shared" si="61"/>
        <v>452.89552584845842</v>
      </c>
      <c r="BH71" s="62">
        <f t="shared" si="62"/>
        <v>746.22885918179168</v>
      </c>
      <c r="BI71" s="62">
        <f ca="1">AVERAGE(OFFSET($BH$3,0,0,'Données projet'!$E$11+1,1))-AVERAGE(OFFSET($H$3,0,0,'Données projet'!$E$11+1,1))</f>
        <v>321.23599968992932</v>
      </c>
      <c r="BJ71" s="62">
        <f t="shared" si="92"/>
        <v>388.05195847800502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25.026002791142336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25.026002791142336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14.3</v>
      </c>
      <c r="N72" s="14">
        <f>IF('Données projet'!$A$36&gt;35,N71+M72-V71,IF(A72&lt;'Données projet'!$A$36,$K$205^A72,IF(A72='Données projet'!$A$36,'Données projet'!$B$36,N71+M72-V71)))</f>
        <v>433.7000000000001</v>
      </c>
      <c r="O72" s="14">
        <f>N72*VLOOKUP('Données projet'!$B$9,Paramètres!$A$1:$I$89,3,0)*VLOOKUP('Données projet'!$B$9,Paramètres!$A$1:$I$89,5,0)</f>
        <v>259.35260000000011</v>
      </c>
      <c r="P72" s="14">
        <f t="shared" si="87"/>
        <v>62.58435842101963</v>
      </c>
      <c r="Q72" s="22">
        <f t="shared" si="54"/>
        <v>560.70686924994277</v>
      </c>
      <c r="R72" s="62">
        <f t="shared" si="55"/>
        <v>854.04020258327614</v>
      </c>
      <c r="S72" s="62">
        <f ca="1">AVERAGE(OFFSET($R$3,0,0,'Données projet'!$E$9+1,1))-AVERAGE(OFFSET($H$3,0,0,'Données projet'!$E$9+1,1))</f>
        <v>295.83974441964551</v>
      </c>
      <c r="T72" s="62">
        <f t="shared" si="88"/>
        <v>212.24900914818096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30.203292957594428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0.95929795862931677</v>
      </c>
      <c r="AC72" s="24">
        <f t="shared" si="57"/>
        <v>31.162590916223746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-4.5474735088646412E-13</v>
      </c>
      <c r="AJ72" s="14">
        <f>AI72*VLOOKUP('Données projet'!$B$10,Paramètres!$A$1:$I$89,3,0)*VLOOKUP('Données projet'!$B$10,Paramètres!$A$1:$I$89,5,0)</f>
        <v>-2.5420376914553347E-13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512.21337090113502</v>
      </c>
      <c r="AO72" s="62">
        <f t="shared" si="90"/>
        <v>621.03633124474163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307.32442556285315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11.443208931687915</v>
      </c>
      <c r="AX72" s="23">
        <f t="shared" si="60"/>
        <v>318.76763449454108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5.2</v>
      </c>
      <c r="BD72" s="13">
        <f>IF('Données projet'!$A$88&gt;35,BD71+BC72-BL71,IF(A72&lt;'Données projet'!$A$88,$BA$205^A72,IF(A72='Données projet'!$A$88,'Données projet'!$B$88,BD71+BC72-BL71)))</f>
        <v>243.80000000000021</v>
      </c>
      <c r="BE72" s="14">
        <f>BD72*VLOOKUP('Données projet'!$B$11,Paramètres!$A$1:$I$89,3,0)*VLOOKUP('Données projet'!$B$11,Paramètres!$A$1:$I$89,5,0)</f>
        <v>212.98368000000022</v>
      </c>
      <c r="BF72" s="14">
        <f t="shared" si="91"/>
        <v>52.587058525970413</v>
      </c>
      <c r="BG72" s="22">
        <f t="shared" si="61"/>
        <v>462.53570293273214</v>
      </c>
      <c r="BH72" s="62">
        <f t="shared" si="62"/>
        <v>755.86903626606545</v>
      </c>
      <c r="BI72" s="62">
        <f ca="1">AVERAGE(OFFSET($BH$3,0,0,'Données projet'!$E$11+1,1))-AVERAGE(OFFSET($H$3,0,0,'Données projet'!$E$11+1,1))</f>
        <v>321.23599968992932</v>
      </c>
      <c r="BJ72" s="62">
        <f t="shared" si="92"/>
        <v>388.05195847800502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24.535258140762508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24.535258140762508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448</v>
      </c>
      <c r="L73" s="13">
        <f>VLOOKUP(A73,'Données projet'!$A$35:$I$55,9,0)</f>
        <v>14.3</v>
      </c>
      <c r="M73" s="13">
        <f t="array" ref="M73">INDEX(L:L,MIN(IF(ISNUMBER(L73:L269),ROW(L73:L269),"")))</f>
        <v>14.3</v>
      </c>
      <c r="N73" s="14">
        <f>IF('Données projet'!$A$36&gt;35,N72+M73-V72,IF(A73&lt;'Données projet'!$A$36,$K$205^A73,IF(A73='Données projet'!$A$36,'Données projet'!$B$36,N72+M73-V72)))</f>
        <v>448.00000000000011</v>
      </c>
      <c r="O73" s="14">
        <f>N73*VLOOKUP('Données projet'!$B$9,Paramètres!$A$1:$I$89,3,0)*VLOOKUP('Données projet'!$B$9,Paramètres!$A$1:$I$89,5,0)</f>
        <v>267.90400000000011</v>
      </c>
      <c r="P73" s="14">
        <f t="shared" si="87"/>
        <v>64.404243631863267</v>
      </c>
      <c r="Q73" s="22">
        <f t="shared" si="54"/>
        <v>578.77019099216204</v>
      </c>
      <c r="R73" s="62">
        <f t="shared" si="55"/>
        <v>872.1035243254953</v>
      </c>
      <c r="S73" s="62">
        <f ca="1">AVERAGE(OFFSET($R$3,0,0,'Données projet'!$E$9+1,1))-AVERAGE(OFFSET($H$3,0,0,'Données projet'!$E$9+1,1))</f>
        <v>295.83974441964551</v>
      </c>
      <c r="T73" s="62">
        <f t="shared" si="88"/>
        <v>212.24900914818096</v>
      </c>
      <c r="U73" s="16">
        <f>IF(ISNA(VLOOKUP(A73,'Données projet'!$A$35:$I$55,3,0)),0,VLOOKUP(A73,'Données projet'!$A$35:$I$55,3,0))</f>
        <v>7</v>
      </c>
      <c r="V73" s="16">
        <f>IF(ISNA(VLOOKUP(A73,'Données projet'!$A$35:$I$55,4,0)),0,VLOOKUP(A73,'Données projet'!$A$35:$I$55,4,0))</f>
        <v>78</v>
      </c>
      <c r="W73" s="17">
        <f>IF(ISNA(VLOOKUP(A73,'Données projet'!$A$35:$I$55,5,0)),0%,VLOOKUP(A73,'Données projet'!$A$35:$I$55,5,0)*VLOOKUP('Données projet'!$B$9,Paramètres!$A$1:$I$89,7,0))</f>
        <v>0.36000000000000004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0.2</v>
      </c>
      <c r="Z73" s="23">
        <f>EXP(-LN(2)/35)*Z72+(1-EXP(-LN(2)/35))/(LN(2)/35)*V73*W73*VLOOKUP('Données projet'!$B$9,Paramètres!$A$1:$I$89,3,0)*0.475*44/12</f>
        <v>51.886482890313559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11.240694748890098</v>
      </c>
      <c r="AC73" s="24">
        <f t="shared" si="57"/>
        <v>63.127177639203659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-4.5474735088646412E-13</v>
      </c>
      <c r="AJ73" s="14">
        <f>AI73*VLOOKUP('Données projet'!$B$10,Paramètres!$A$1:$I$89,3,0)*VLOOKUP('Données projet'!$B$10,Paramètres!$A$1:$I$89,5,0)</f>
        <v>-2.5420376914553347E-13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512.21337090113502</v>
      </c>
      <c r="AO73" s="62">
        <f t="shared" si="90"/>
        <v>621.03633124474163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301.29798102695611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8.0915706341309939</v>
      </c>
      <c r="AX73" s="23">
        <f t="shared" si="60"/>
        <v>309.38955166108713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249</v>
      </c>
      <c r="BB73" s="13">
        <f>VLOOKUP(A73,'Données projet'!$A$87:$I$107,9,0)</f>
        <v>5.2</v>
      </c>
      <c r="BC73" s="13">
        <f t="array" ref="BC73">INDEX(BB:BB,MIN(IF(ISNUMBER(BB73:BB269),ROW(BB73:BB269),"")))</f>
        <v>5.2</v>
      </c>
      <c r="BD73" s="13">
        <f>IF('Données projet'!$A$88&gt;35,BD72+BC73-BL72,IF(A73&lt;'Données projet'!$A$88,$BA$205^A73,IF(A73='Données projet'!$A$88,'Données projet'!$B$88,BD72+BC73-BL72)))</f>
        <v>249.0000000000002</v>
      </c>
      <c r="BE73" s="14">
        <f>BD73*VLOOKUP('Données projet'!$B$11,Paramètres!$A$1:$I$89,3,0)*VLOOKUP('Données projet'!$B$11,Paramètres!$A$1:$I$89,5,0)</f>
        <v>217.52640000000019</v>
      </c>
      <c r="BF73" s="14">
        <f t="shared" si="91"/>
        <v>53.576907690651304</v>
      </c>
      <c r="BG73" s="22">
        <f t="shared" si="61"/>
        <v>472.17159422788467</v>
      </c>
      <c r="BH73" s="62">
        <f t="shared" si="62"/>
        <v>765.50492756121798</v>
      </c>
      <c r="BI73" s="62">
        <f ca="1">AVERAGE(OFFSET($BH$3,0,0,'Données projet'!$E$11+1,1))-AVERAGE(OFFSET($H$3,0,0,'Données projet'!$E$11+1,1))</f>
        <v>321.23599968992932</v>
      </c>
      <c r="BJ73" s="62">
        <f t="shared" si="92"/>
        <v>388.05195847800502</v>
      </c>
      <c r="BK73" s="16">
        <f>IF(ISNA(VLOOKUP(A73,'Données projet'!$A$87:$I$107,3,0)),0,VLOOKUP(A73,'Données projet'!$A$87:$I$107,3,0))</f>
        <v>12</v>
      </c>
      <c r="BL73" s="16">
        <f>IF(ISNA(VLOOKUP(A73,'Données projet'!$A$87:$I$107,4,0)),0,VLOOKUP(A73,'Données projet'!$A$87:$I$107,4,0))</f>
        <v>249</v>
      </c>
      <c r="BM73" s="17">
        <f>IF(ISNA(VLOOKUP(A73,'Données projet'!$A$87:$I$107,5,0)),0%,VLOOKUP(A73,'Données projet'!$A$87:$I$107,5,0)*VLOOKUP('Données projet'!$B$11,Paramètres!$A$1:$I$89,7,0))</f>
        <v>0.30099999999999999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96.435303275549302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96.435303275549302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9</v>
      </c>
      <c r="N74" s="14">
        <f>IF('Données projet'!$A$36&gt;35,N73+M74-V73,IF(A74&lt;'Données projet'!$A$36,$K$205^A74,IF(A74='Données projet'!$A$36,'Données projet'!$B$36,N73+M74-V73)))</f>
        <v>379.00000000000011</v>
      </c>
      <c r="O74" s="14">
        <f>N74*VLOOKUP('Données projet'!$B$9,Paramètres!$A$1:$I$89,3,0)*VLOOKUP('Données projet'!$B$9,Paramètres!$A$1:$I$89,5,0)</f>
        <v>226.64200000000008</v>
      </c>
      <c r="P74" s="14">
        <f t="shared" si="87"/>
        <v>55.555983079812862</v>
      </c>
      <c r="Q74" s="22">
        <f t="shared" si="54"/>
        <v>491.49482053067413</v>
      </c>
      <c r="R74" s="62">
        <f t="shared" si="55"/>
        <v>784.82815386400739</v>
      </c>
      <c r="S74" s="62">
        <f ca="1">AVERAGE(OFFSET($R$3,0,0,'Données projet'!$E$9+1,1))-AVERAGE(OFFSET($H$3,0,0,'Données projet'!$E$9+1,1))</f>
        <v>295.83974441964551</v>
      </c>
      <c r="T74" s="62">
        <f t="shared" si="88"/>
        <v>212.24900914818096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50.869020608464126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7.9483714821882048</v>
      </c>
      <c r="AC74" s="24">
        <f t="shared" si="57"/>
        <v>58.817392090652334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-4.5474735088646412E-13</v>
      </c>
      <c r="AJ74" s="14">
        <f>AI74*VLOOKUP('Données projet'!$B$10,Paramètres!$A$1:$I$89,3,0)*VLOOKUP('Données projet'!$B$10,Paramètres!$A$1:$I$89,5,0)</f>
        <v>-2.5420376914553347E-13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512.21337090113502</v>
      </c>
      <c r="AO74" s="62">
        <f t="shared" si="90"/>
        <v>621.03633124474163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295.38971139263981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5.7216044658439591</v>
      </c>
      <c r="AX74" s="23">
        <f t="shared" si="60"/>
        <v>301.11131585848375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1.9895196601282805E-13</v>
      </c>
      <c r="BE74" s="14">
        <f>BD74*VLOOKUP('Données projet'!$B$11,Paramètres!$A$1:$I$89,3,0)*VLOOKUP('Données projet'!$B$11,Paramètres!$A$1:$I$89,5,0)</f>
        <v>1.738044375088066E-13</v>
      </c>
      <c r="BF74" s="14">
        <f t="shared" si="91"/>
        <v>2.4483293633950478E-12</v>
      </c>
      <c r="BG74" s="22">
        <f t="shared" si="61"/>
        <v>4.566883036574213E-12</v>
      </c>
      <c r="BH74" s="62">
        <f t="shared" si="62"/>
        <v>293.33333333333786</v>
      </c>
      <c r="BI74" s="62">
        <f ca="1">AVERAGE(OFFSET($BH$3,0,0,'Données projet'!$E$11+1,1))-AVERAGE(OFFSET($H$3,0,0,'Données projet'!$E$11+1,1))</f>
        <v>321.23599968992932</v>
      </c>
      <c r="BJ74" s="62">
        <f t="shared" si="92"/>
        <v>388.05195847800502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94.544265798042815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94.544265798042815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9</v>
      </c>
      <c r="N75" s="14">
        <f>IF('Données projet'!$A$36&gt;35,N74+M75-V74,IF(A75&lt;'Données projet'!$A$36,$K$205^A75,IF(A75='Données projet'!$A$36,'Données projet'!$B$36,N74+M75-V74)))</f>
        <v>388.00000000000011</v>
      </c>
      <c r="O75" s="14">
        <f>N75*VLOOKUP('Données projet'!$B$9,Paramètres!$A$1:$I$89,3,0)*VLOOKUP('Données projet'!$B$9,Paramètres!$A$1:$I$89,5,0)</f>
        <v>232.02400000000006</v>
      </c>
      <c r="P75" s="14">
        <f t="shared" si="87"/>
        <v>56.720094243161071</v>
      </c>
      <c r="Q75" s="22">
        <f t="shared" si="54"/>
        <v>502.89596414017234</v>
      </c>
      <c r="R75" s="62">
        <f t="shared" si="55"/>
        <v>796.22929747350565</v>
      </c>
      <c r="S75" s="62">
        <f ca="1">AVERAGE(OFFSET($R$3,0,0,'Données projet'!$E$9+1,1))-AVERAGE(OFFSET($H$3,0,0,'Données projet'!$E$9+1,1))</f>
        <v>295.83974441964551</v>
      </c>
      <c r="T75" s="62">
        <f t="shared" si="88"/>
        <v>212.24900914818096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49.871510141371047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5.6203473744450498</v>
      </c>
      <c r="AC75" s="24">
        <f t="shared" si="57"/>
        <v>55.491857515816093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-4.5474735088646412E-13</v>
      </c>
      <c r="AJ75" s="14">
        <f>AI75*VLOOKUP('Données projet'!$B$10,Paramètres!$A$1:$I$89,3,0)*VLOOKUP('Données projet'!$B$10,Paramètres!$A$1:$I$89,5,0)</f>
        <v>-2.5420376914553347E-13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512.21337090113502</v>
      </c>
      <c r="AO75" s="62">
        <f t="shared" si="90"/>
        <v>621.03633124474163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289.59729932216379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4.0457853170654978</v>
      </c>
      <c r="AX75" s="23">
        <f t="shared" si="60"/>
        <v>293.6430846392293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1.9895196601282805E-13</v>
      </c>
      <c r="BE75" s="14">
        <f>BD75*VLOOKUP('Données projet'!$B$11,Paramètres!$A$1:$I$89,3,0)*VLOOKUP('Données projet'!$B$11,Paramètres!$A$1:$I$89,5,0)</f>
        <v>1.738044375088066E-13</v>
      </c>
      <c r="BF75" s="14">
        <f t="shared" si="91"/>
        <v>2.4483293633950478E-12</v>
      </c>
      <c r="BG75" s="22">
        <f t="shared" si="61"/>
        <v>4.566883036574213E-12</v>
      </c>
      <c r="BH75" s="62">
        <f t="shared" si="62"/>
        <v>293.33333333333786</v>
      </c>
      <c r="BI75" s="62">
        <f ca="1">AVERAGE(OFFSET($BH$3,0,0,'Données projet'!$E$11+1,1))-AVERAGE(OFFSET($H$3,0,0,'Données projet'!$E$11+1,1))</f>
        <v>321.23599968992932</v>
      </c>
      <c r="BJ75" s="62">
        <f t="shared" si="92"/>
        <v>388.05195847800502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92.690310412051261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92.690310412051261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9</v>
      </c>
      <c r="N76" s="14">
        <f>IF('Données projet'!$A$36&gt;35,N75+M76-V75,IF(A76&lt;'Données projet'!$A$36,$K$205^A76,IF(A76='Données projet'!$A$36,'Données projet'!$B$36,N75+M76-V75)))</f>
        <v>397.00000000000011</v>
      </c>
      <c r="O76" s="14">
        <f>N76*VLOOKUP('Données projet'!$B$9,Paramètres!$A$1:$I$89,3,0)*VLOOKUP('Données projet'!$B$9,Paramètres!$A$1:$I$89,5,0)</f>
        <v>237.40600000000009</v>
      </c>
      <c r="P76" s="14">
        <f t="shared" si="87"/>
        <v>57.881066248213493</v>
      </c>
      <c r="Q76" s="22">
        <f t="shared" si="54"/>
        <v>514.29164038230522</v>
      </c>
      <c r="R76" s="62">
        <f t="shared" si="55"/>
        <v>807.62497371563859</v>
      </c>
      <c r="S76" s="62">
        <f ca="1">AVERAGE(OFFSET($R$3,0,0,'Données projet'!$E$9+1,1))-AVERAGE(OFFSET($H$3,0,0,'Données projet'!$E$9+1,1))</f>
        <v>295.83974441964551</v>
      </c>
      <c r="T76" s="62">
        <f t="shared" si="88"/>
        <v>212.24900914818096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48.893560246116358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3.9741857410941028</v>
      </c>
      <c r="AC76" s="24">
        <f t="shared" si="57"/>
        <v>52.867745987210462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-4.5474735088646412E-13</v>
      </c>
      <c r="AJ76" s="14">
        <f>AI76*VLOOKUP('Données projet'!$B$10,Paramètres!$A$1:$I$89,3,0)*VLOOKUP('Données projet'!$B$10,Paramètres!$A$1:$I$89,5,0)</f>
        <v>-2.5420376914553347E-13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512.21337090113502</v>
      </c>
      <c r="AO76" s="62">
        <f t="shared" si="90"/>
        <v>621.03633124474163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283.91847291936728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2.86080223292198</v>
      </c>
      <c r="AX76" s="23">
        <f t="shared" si="60"/>
        <v>286.77927515228924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1.9895196601282805E-13</v>
      </c>
      <c r="BE76" s="14">
        <f>BD76*VLOOKUP('Données projet'!$B$11,Paramètres!$A$1:$I$89,3,0)*VLOOKUP('Données projet'!$B$11,Paramètres!$A$1:$I$89,5,0)</f>
        <v>1.738044375088066E-13</v>
      </c>
      <c r="BF76" s="14">
        <f t="shared" si="91"/>
        <v>2.4483293633950478E-12</v>
      </c>
      <c r="BG76" s="22">
        <f t="shared" si="61"/>
        <v>4.566883036574213E-12</v>
      </c>
      <c r="BH76" s="62">
        <f t="shared" si="62"/>
        <v>293.33333333333786</v>
      </c>
      <c r="BI76" s="62">
        <f ca="1">AVERAGE(OFFSET($BH$3,0,0,'Données projet'!$E$11+1,1))-AVERAGE(OFFSET($H$3,0,0,'Données projet'!$E$11+1,1))</f>
        <v>321.23599968992932</v>
      </c>
      <c r="BJ76" s="62">
        <f t="shared" si="92"/>
        <v>388.05195847800502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90.872709960377875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90.872709960377875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9</v>
      </c>
      <c r="N77" s="14">
        <f>IF('Données projet'!$A$36&gt;35,N76+M77-V76,IF(A77&lt;'Données projet'!$A$36,$K$205^A77,IF(A77='Données projet'!$A$36,'Données projet'!$B$36,N76+M77-V76)))</f>
        <v>406.00000000000011</v>
      </c>
      <c r="O77" s="14">
        <f>N77*VLOOKUP('Données projet'!$B$9,Paramètres!$A$1:$I$89,3,0)*VLOOKUP('Données projet'!$B$9,Paramètres!$A$1:$I$89,5,0)</f>
        <v>242.78800000000007</v>
      </c>
      <c r="P77" s="14">
        <f t="shared" si="87"/>
        <v>59.038978452354563</v>
      </c>
      <c r="Q77" s="22">
        <f t="shared" si="54"/>
        <v>525.68198747118436</v>
      </c>
      <c r="R77" s="62">
        <f t="shared" si="55"/>
        <v>819.01532080451761</v>
      </c>
      <c r="S77" s="62">
        <f ca="1">AVERAGE(OFFSET($R$3,0,0,'Données projet'!$E$9+1,1))-AVERAGE(OFFSET($H$3,0,0,'Données projet'!$E$9+1,1))</f>
        <v>295.83974441964551</v>
      </c>
      <c r="T77" s="62">
        <f t="shared" si="88"/>
        <v>212.24900914818096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47.934787351817079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2.8101736872225254</v>
      </c>
      <c r="AC77" s="24">
        <f t="shared" si="57"/>
        <v>50.744961039039602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-4.5474735088646412E-13</v>
      </c>
      <c r="AJ77" s="14">
        <f>AI77*VLOOKUP('Données projet'!$B$10,Paramètres!$A$1:$I$89,3,0)*VLOOKUP('Données projet'!$B$10,Paramètres!$A$1:$I$89,5,0)</f>
        <v>-2.5420376914553347E-13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512.21337090113502</v>
      </c>
      <c r="AO77" s="62">
        <f t="shared" si="90"/>
        <v>621.03633124474163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278.35100483858753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2.0228926585327494</v>
      </c>
      <c r="AX77" s="23">
        <f t="shared" si="60"/>
        <v>280.37389749712025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1.9895196601282805E-13</v>
      </c>
      <c r="BE77" s="14">
        <f>BD77*VLOOKUP('Données projet'!$B$11,Paramètres!$A$1:$I$89,3,0)*VLOOKUP('Données projet'!$B$11,Paramètres!$A$1:$I$89,5,0)</f>
        <v>1.738044375088066E-13</v>
      </c>
      <c r="BF77" s="14">
        <f t="shared" si="91"/>
        <v>2.4483293633950478E-12</v>
      </c>
      <c r="BG77" s="22">
        <f t="shared" si="61"/>
        <v>4.566883036574213E-12</v>
      </c>
      <c r="BH77" s="62">
        <f t="shared" si="62"/>
        <v>293.33333333333786</v>
      </c>
      <c r="BI77" s="62">
        <f ca="1">AVERAGE(OFFSET($BH$3,0,0,'Données projet'!$E$11+1,1))-AVERAGE(OFFSET($H$3,0,0,'Données projet'!$E$11+1,1))</f>
        <v>321.23599968992932</v>
      </c>
      <c r="BJ77" s="62">
        <f t="shared" si="92"/>
        <v>388.05195847800502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89.090751544934989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89.090751544934989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9</v>
      </c>
      <c r="N78" s="14">
        <f>IF('Données projet'!$A$36&gt;35,N77+M78-V77,IF(A78&lt;'Données projet'!$A$36,$K$205^A78,IF(A78='Données projet'!$A$36,'Données projet'!$B$36,N77+M78-V77)))</f>
        <v>415.00000000000011</v>
      </c>
      <c r="O78" s="14">
        <f>N78*VLOOKUP('Données projet'!$B$9,Paramètres!$A$1:$I$89,3,0)*VLOOKUP('Données projet'!$B$9,Paramètres!$A$1:$I$89,5,0)</f>
        <v>248.1700000000001</v>
      </c>
      <c r="P78" s="14">
        <f t="shared" si="87"/>
        <v>60.193906493778854</v>
      </c>
      <c r="Q78" s="22">
        <f t="shared" si="54"/>
        <v>537.06713714333159</v>
      </c>
      <c r="R78" s="62">
        <f t="shared" si="55"/>
        <v>830.40047047666485</v>
      </c>
      <c r="S78" s="62">
        <f ca="1">AVERAGE(OFFSET($R$3,0,0,'Données projet'!$E$9+1,1))-AVERAGE(OFFSET($H$3,0,0,'Données projet'!$E$9+1,1))</f>
        <v>295.83974441964551</v>
      </c>
      <c r="T78" s="62">
        <f t="shared" si="88"/>
        <v>212.24900914818096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46.994815409181285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1.9870928705470519</v>
      </c>
      <c r="AC78" s="24">
        <f t="shared" si="57"/>
        <v>48.981908279728337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-4.5474735088646412E-13</v>
      </c>
      <c r="AJ78" s="14">
        <f>AI78*VLOOKUP('Données projet'!$B$10,Paramètres!$A$1:$I$89,3,0)*VLOOKUP('Données projet'!$B$10,Paramètres!$A$1:$I$89,5,0)</f>
        <v>-2.5420376914553347E-13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512.21337090113502</v>
      </c>
      <c r="AO78" s="62">
        <f t="shared" si="90"/>
        <v>621.03633124474163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272.89271141105166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1.4304011164609902</v>
      </c>
      <c r="AX78" s="23">
        <f t="shared" si="60"/>
        <v>274.32311252751265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1.9895196601282805E-13</v>
      </c>
      <c r="BE78" s="14">
        <f>BD78*VLOOKUP('Données projet'!$B$11,Paramètres!$A$1:$I$89,3,0)*VLOOKUP('Données projet'!$B$11,Paramètres!$A$1:$I$89,5,0)</f>
        <v>1.738044375088066E-13</v>
      </c>
      <c r="BF78" s="14">
        <f t="shared" si="91"/>
        <v>2.4483293633950478E-12</v>
      </c>
      <c r="BG78" s="22">
        <f t="shared" si="61"/>
        <v>4.566883036574213E-12</v>
      </c>
      <c r="BH78" s="62">
        <f t="shared" si="62"/>
        <v>293.33333333333786</v>
      </c>
      <c r="BI78" s="62">
        <f ca="1">AVERAGE(OFFSET($BH$3,0,0,'Données projet'!$E$11+1,1))-AVERAGE(OFFSET($H$3,0,0,'Données projet'!$E$11+1,1))</f>
        <v>321.23599968992932</v>
      </c>
      <c r="BJ78" s="62">
        <f t="shared" si="92"/>
        <v>388.05195847800502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87.343736247131631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87.343736247131631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9</v>
      </c>
      <c r="N79" s="14">
        <f>IF('Données projet'!$A$36&gt;35,N78+M79-V78,IF(A79&lt;'Données projet'!$A$36,$K$205^A79,IF(A79='Données projet'!$A$36,'Données projet'!$B$36,N78+M79-V78)))</f>
        <v>424.00000000000011</v>
      </c>
      <c r="O79" s="14">
        <f>N79*VLOOKUP('Données projet'!$B$9,Paramètres!$A$1:$I$89,3,0)*VLOOKUP('Données projet'!$B$9,Paramètres!$A$1:$I$89,5,0)</f>
        <v>253.55200000000008</v>
      </c>
      <c r="P79" s="14">
        <f t="shared" si="87"/>
        <v>61.345922542613536</v>
      </c>
      <c r="Q79" s="22">
        <f t="shared" si="54"/>
        <v>548.447215095052</v>
      </c>
      <c r="R79" s="62">
        <f t="shared" si="55"/>
        <v>841.78054842838537</v>
      </c>
      <c r="S79" s="62">
        <f ca="1">AVERAGE(OFFSET($R$3,0,0,'Données projet'!$E$9+1,1))-AVERAGE(OFFSET($H$3,0,0,'Données projet'!$E$9+1,1))</f>
        <v>295.83974441964551</v>
      </c>
      <c r="T79" s="62">
        <f t="shared" si="88"/>
        <v>212.24900914818096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46.073275743014307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1.4050868436112629</v>
      </c>
      <c r="AC79" s="24">
        <f t="shared" si="57"/>
        <v>47.478362586625572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-4.5474735088646412E-13</v>
      </c>
      <c r="AJ79" s="14">
        <f>AI79*VLOOKUP('Données projet'!$B$10,Paramètres!$A$1:$I$89,3,0)*VLOOKUP('Données projet'!$B$10,Paramètres!$A$1:$I$89,5,0)</f>
        <v>-2.5420376914553347E-13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512.21337090113502</v>
      </c>
      <c r="AO79" s="62">
        <f t="shared" si="90"/>
        <v>621.03633124474163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267.54145178839951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1.0114463292663747</v>
      </c>
      <c r="AX79" s="23">
        <f t="shared" si="60"/>
        <v>268.5528981176659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1.9895196601282805E-13</v>
      </c>
      <c r="BE79" s="14">
        <f>BD79*VLOOKUP('Données projet'!$B$11,Paramètres!$A$1:$I$89,3,0)*VLOOKUP('Données projet'!$B$11,Paramètres!$A$1:$I$89,5,0)</f>
        <v>1.738044375088066E-13</v>
      </c>
      <c r="BF79" s="14">
        <f t="shared" si="91"/>
        <v>2.4483293633950478E-12</v>
      </c>
      <c r="BG79" s="22">
        <f t="shared" si="61"/>
        <v>4.566883036574213E-12</v>
      </c>
      <c r="BH79" s="62">
        <f t="shared" si="62"/>
        <v>293.33333333333786</v>
      </c>
      <c r="BI79" s="62">
        <f ca="1">AVERAGE(OFFSET($BH$3,0,0,'Données projet'!$E$11+1,1))-AVERAGE(OFFSET($H$3,0,0,'Données projet'!$E$11+1,1))</f>
        <v>321.23599968992932</v>
      </c>
      <c r="BJ79" s="62">
        <f t="shared" si="92"/>
        <v>388.05195847800502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85.630978853744082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85.630978853744082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9</v>
      </c>
      <c r="N80" s="14">
        <f>IF('Données projet'!$A$36&gt;35,N79+M80-V79,IF(A80&lt;'Données projet'!$A$36,$K$205^A80,IF(A80='Données projet'!$A$36,'Données projet'!$B$36,N79+M80-V79)))</f>
        <v>433.00000000000011</v>
      </c>
      <c r="O80" s="14">
        <f>N80*VLOOKUP('Données projet'!$B$9,Paramètres!$A$1:$I$89,3,0)*VLOOKUP('Données projet'!$B$9,Paramètres!$A$1:$I$89,5,0)</f>
        <v>258.93400000000008</v>
      </c>
      <c r="P80" s="14">
        <f t="shared" si="87"/>
        <v>62.495095530116075</v>
      </c>
      <c r="Q80" s="22">
        <f t="shared" si="54"/>
        <v>559.82234138161891</v>
      </c>
      <c r="R80" s="62">
        <f t="shared" si="55"/>
        <v>853.15567471495228</v>
      </c>
      <c r="S80" s="62">
        <f ca="1">AVERAGE(OFFSET($R$3,0,0,'Données projet'!$E$9+1,1))-AVERAGE(OFFSET($H$3,0,0,'Données projet'!$E$9+1,1))</f>
        <v>295.83974441964551</v>
      </c>
      <c r="T80" s="62">
        <f t="shared" si="88"/>
        <v>212.24900914818096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45.169806907617165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0.99354643527352604</v>
      </c>
      <c r="AC80" s="24">
        <f t="shared" si="57"/>
        <v>46.163353342890694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-4.5474735088646412E-13</v>
      </c>
      <c r="AJ80" s="14">
        <f>AI80*VLOOKUP('Données projet'!$B$10,Paramètres!$A$1:$I$89,3,0)*VLOOKUP('Données projet'!$B$10,Paramètres!$A$1:$I$89,5,0)</f>
        <v>-2.5420376914553347E-13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512.21337090113502</v>
      </c>
      <c r="AO80" s="62">
        <f t="shared" si="90"/>
        <v>621.03633124474163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262.29512710300151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0.71520055823049511</v>
      </c>
      <c r="AX80" s="23">
        <f t="shared" si="60"/>
        <v>263.010327661232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1.9895196601282805E-13</v>
      </c>
      <c r="BE80" s="14">
        <f>BD80*VLOOKUP('Données projet'!$B$11,Paramètres!$A$1:$I$89,3,0)*VLOOKUP('Données projet'!$B$11,Paramètres!$A$1:$I$89,5,0)</f>
        <v>1.738044375088066E-13</v>
      </c>
      <c r="BF80" s="14">
        <f t="shared" si="91"/>
        <v>2.4483293633950478E-12</v>
      </c>
      <c r="BG80" s="22">
        <f t="shared" si="61"/>
        <v>4.566883036574213E-12</v>
      </c>
      <c r="BH80" s="62">
        <f t="shared" si="62"/>
        <v>293.33333333333786</v>
      </c>
      <c r="BI80" s="62">
        <f ca="1">AVERAGE(OFFSET($BH$3,0,0,'Données projet'!$E$11+1,1))-AVERAGE(OFFSET($H$3,0,0,'Données projet'!$E$11+1,1))</f>
        <v>321.23599968992932</v>
      </c>
      <c r="BJ80" s="62">
        <f t="shared" si="92"/>
        <v>388.05195847800502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83.951807588161998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83.951807588161998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9</v>
      </c>
      <c r="N81" s="14">
        <f>IF('Données projet'!$A$36&gt;35,N80+M81-V80,IF(A81&lt;'Données projet'!$A$36,$K$205^A81,IF(A81='Données projet'!$A$36,'Données projet'!$B$36,N80+M81-V80)))</f>
        <v>442.00000000000011</v>
      </c>
      <c r="O81" s="14">
        <f>N81*VLOOKUP('Données projet'!$B$9,Paramètres!$A$1:$I$89,3,0)*VLOOKUP('Données projet'!$B$9,Paramètres!$A$1:$I$89,5,0)</f>
        <v>264.31600000000009</v>
      </c>
      <c r="P81" s="14">
        <f t="shared" si="87"/>
        <v>63.641491358279801</v>
      </c>
      <c r="Q81" s="22">
        <f t="shared" si="54"/>
        <v>571.19263078233746</v>
      </c>
      <c r="R81" s="62">
        <f t="shared" si="55"/>
        <v>864.52596411567083</v>
      </c>
      <c r="S81" s="62">
        <f ca="1">AVERAGE(OFFSET($R$3,0,0,'Données projet'!$E$9+1,1))-AVERAGE(OFFSET($H$3,0,0,'Données projet'!$E$9+1,1))</f>
        <v>295.83974441964551</v>
      </c>
      <c r="T81" s="62">
        <f t="shared" si="88"/>
        <v>212.24900914818096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44.284054545020581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0.70254342180563156</v>
      </c>
      <c r="AC81" s="24">
        <f t="shared" si="57"/>
        <v>44.98659796682621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-4.5474735088646412E-13</v>
      </c>
      <c r="AJ81" s="14">
        <f>AI81*VLOOKUP('Données projet'!$B$10,Paramètres!$A$1:$I$89,3,0)*VLOOKUP('Données projet'!$B$10,Paramètres!$A$1:$I$89,5,0)</f>
        <v>-2.5420376914553347E-13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512.21337090113502</v>
      </c>
      <c r="AO81" s="62">
        <f t="shared" si="90"/>
        <v>621.03633124474163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257.15167964474205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0.50572316463318734</v>
      </c>
      <c r="AX81" s="23">
        <f t="shared" si="60"/>
        <v>257.65740280937524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1.9895196601282805E-13</v>
      </c>
      <c r="BE81" s="14">
        <f>BD81*VLOOKUP('Données projet'!$B$11,Paramètres!$A$1:$I$89,3,0)*VLOOKUP('Données projet'!$B$11,Paramètres!$A$1:$I$89,5,0)</f>
        <v>1.738044375088066E-13</v>
      </c>
      <c r="BF81" s="14">
        <f t="shared" si="91"/>
        <v>2.4483293633950478E-12</v>
      </c>
      <c r="BG81" s="22">
        <f t="shared" si="61"/>
        <v>4.566883036574213E-12</v>
      </c>
      <c r="BH81" s="62">
        <f t="shared" si="62"/>
        <v>293.33333333333786</v>
      </c>
      <c r="BI81" s="62">
        <f ca="1">AVERAGE(OFFSET($BH$3,0,0,'Données projet'!$E$11+1,1))-AVERAGE(OFFSET($H$3,0,0,'Données projet'!$E$11+1,1))</f>
        <v>321.23599968992932</v>
      </c>
      <c r="BJ81" s="62">
        <f t="shared" si="92"/>
        <v>388.05195847800502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82.305563846904647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82.305563846904647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9</v>
      </c>
      <c r="N82" s="14">
        <f>IF('Données projet'!$A$36&gt;35,N81+M82-V81,IF(A82&lt;'Données projet'!$A$36,$K$205^A82,IF(A82='Données projet'!$A$36,'Données projet'!$B$36,N81+M82-V81)))</f>
        <v>451.00000000000011</v>
      </c>
      <c r="O82" s="14">
        <f>N82*VLOOKUP('Données projet'!$B$9,Paramètres!$A$1:$I$89,3,0)*VLOOKUP('Données projet'!$B$9,Paramètres!$A$1:$I$89,5,0)</f>
        <v>269.69800000000009</v>
      </c>
      <c r="P82" s="14">
        <f t="shared" si="87"/>
        <v>64.785173091884289</v>
      </c>
      <c r="Q82" s="22">
        <f t="shared" si="54"/>
        <v>582.55819313503196</v>
      </c>
      <c r="R82" s="62">
        <f t="shared" si="55"/>
        <v>875.89152646836533</v>
      </c>
      <c r="S82" s="62">
        <f ca="1">AVERAGE(OFFSET($R$3,0,0,'Données projet'!$E$9+1,1))-AVERAGE(OFFSET($H$3,0,0,'Données projet'!$E$9+1,1))</f>
        <v>295.83974441964551</v>
      </c>
      <c r="T82" s="62">
        <f t="shared" si="88"/>
        <v>212.24900914818096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43.415671245998922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0.49677321763676313</v>
      </c>
      <c r="AC82" s="24">
        <f t="shared" si="57"/>
        <v>43.912444463635687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-4.5474735088646412E-13</v>
      </c>
      <c r="AJ82" s="14">
        <f>AI82*VLOOKUP('Données projet'!$B$10,Paramètres!$A$1:$I$89,3,0)*VLOOKUP('Données projet'!$B$10,Paramètres!$A$1:$I$89,5,0)</f>
        <v>-2.5420376914553347E-13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512.21337090113502</v>
      </c>
      <c r="AO82" s="62">
        <f t="shared" si="90"/>
        <v>621.03633124474163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252.10909205394589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0.35760027911524755</v>
      </c>
      <c r="AX82" s="23">
        <f t="shared" si="60"/>
        <v>252.46669233306113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1.9895196601282805E-13</v>
      </c>
      <c r="BE82" s="14">
        <f>BD82*VLOOKUP('Données projet'!$B$11,Paramètres!$A$1:$I$89,3,0)*VLOOKUP('Données projet'!$B$11,Paramètres!$A$1:$I$89,5,0)</f>
        <v>1.738044375088066E-13</v>
      </c>
      <c r="BF82" s="14">
        <f t="shared" si="91"/>
        <v>2.4483293633950478E-12</v>
      </c>
      <c r="BG82" s="22">
        <f t="shared" si="61"/>
        <v>4.566883036574213E-12</v>
      </c>
      <c r="BH82" s="62">
        <f t="shared" si="62"/>
        <v>293.33333333333786</v>
      </c>
      <c r="BI82" s="62">
        <f ca="1">AVERAGE(OFFSET($BH$3,0,0,'Données projet'!$E$11+1,1))-AVERAGE(OFFSET($H$3,0,0,'Données projet'!$E$11+1,1))</f>
        <v>321.23599968992932</v>
      </c>
      <c r="BJ82" s="62">
        <f t="shared" si="92"/>
        <v>388.05195847800502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80.691601941303816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80.691601941303816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460</v>
      </c>
      <c r="L83" s="13">
        <f>VLOOKUP(A83,'Données projet'!$A$35:$I$55,9,0)</f>
        <v>9</v>
      </c>
      <c r="M83" s="13">
        <f t="array" ref="M83">INDEX(L:L,MIN(IF(ISNUMBER(L83:L279),ROW(L83:L279),"")))</f>
        <v>9</v>
      </c>
      <c r="N83" s="14">
        <f>IF('Données projet'!$A$36&gt;35,N82+M83-V82,IF(A83&lt;'Données projet'!$A$36,$K$205^A83,IF(A83='Données projet'!$A$36,'Données projet'!$B$36,N82+M83-V82)))</f>
        <v>460.00000000000011</v>
      </c>
      <c r="O83" s="14">
        <f>N83*VLOOKUP('Données projet'!$B$9,Paramètres!$A$1:$I$89,3,0)*VLOOKUP('Données projet'!$B$9,Paramètres!$A$1:$I$89,5,0)</f>
        <v>275.0800000000001</v>
      </c>
      <c r="P83" s="14">
        <f t="shared" si="87"/>
        <v>65.926201134783341</v>
      </c>
      <c r="Q83" s="22">
        <f t="shared" si="54"/>
        <v>593.91913364308118</v>
      </c>
      <c r="R83" s="62">
        <f t="shared" si="55"/>
        <v>887.25246697641455</v>
      </c>
      <c r="S83" s="62">
        <f ca="1">AVERAGE(OFFSET($R$3,0,0,'Données projet'!$E$9+1,1))-AVERAGE(OFFSET($H$3,0,0,'Données projet'!$E$9+1,1))</f>
        <v>295.83974441964551</v>
      </c>
      <c r="T83" s="62">
        <f t="shared" si="88"/>
        <v>212.24900914818096</v>
      </c>
      <c r="U83" s="16">
        <f>IF(ISNA(VLOOKUP(A83,'Données projet'!$A$35:$I$55,3,0)),0,VLOOKUP(A83,'Données projet'!$A$35:$I$55,3,0))</f>
        <v>8</v>
      </c>
      <c r="V83" s="16">
        <f>IF(ISNA(VLOOKUP(A83,'Données projet'!$A$35:$I$55,4,0)),0,VLOOKUP(A83,'Données projet'!$A$35:$I$55,4,0))</f>
        <v>460</v>
      </c>
      <c r="W83" s="17">
        <f>IF(ISNA(VLOOKUP(A83,'Données projet'!$A$35:$I$55,5,0)),0%,VLOOKUP(A83,'Données projet'!$A$35:$I$55,5,0)*VLOOKUP('Données projet'!$B$9,Paramètres!$A$1:$I$89,7,0))</f>
        <v>0.40500000000000003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0.1</v>
      </c>
      <c r="Z83" s="23">
        <f>EXP(-LN(2)/35)*Z82+(1-EXP(-LN(2)/35))/(LN(2)/35)*V83*W83*VLOOKUP('Données projet'!$B$9,Paramètres!$A$1:$I$89,3,0)*0.475*44/12</f>
        <v>190.35341332674463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31.496717751260835</v>
      </c>
      <c r="AC83" s="24">
        <f t="shared" si="57"/>
        <v>221.85013107800546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-4.5474735088646412E-13</v>
      </c>
      <c r="AJ83" s="14">
        <f>AI83*VLOOKUP('Données projet'!$B$10,Paramètres!$A$1:$I$89,3,0)*VLOOKUP('Données projet'!$B$10,Paramètres!$A$1:$I$89,5,0)</f>
        <v>-2.5420376914553347E-13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512.21337090113502</v>
      </c>
      <c r="AO83" s="62">
        <f t="shared" si="90"/>
        <v>621.03633124474163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247.16538653013049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0.25286158231659367</v>
      </c>
      <c r="AX83" s="23">
        <f t="shared" si="60"/>
        <v>247.41824811244709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1.9895196601282805E-13</v>
      </c>
      <c r="BE83" s="14">
        <f>BD83*VLOOKUP('Données projet'!$B$11,Paramètres!$A$1:$I$89,3,0)*VLOOKUP('Données projet'!$B$11,Paramètres!$A$1:$I$89,5,0)</f>
        <v>1.738044375088066E-13</v>
      </c>
      <c r="BF83" s="14">
        <f t="shared" si="91"/>
        <v>2.4483293633950478E-12</v>
      </c>
      <c r="BG83" s="22">
        <f t="shared" si="61"/>
        <v>4.566883036574213E-12</v>
      </c>
      <c r="BH83" s="62">
        <f t="shared" si="62"/>
        <v>293.33333333333786</v>
      </c>
      <c r="BI83" s="62">
        <f ca="1">AVERAGE(OFFSET($BH$3,0,0,'Données projet'!$E$11+1,1))-AVERAGE(OFFSET($H$3,0,0,'Données projet'!$E$11+1,1))</f>
        <v>321.23599968992932</v>
      </c>
      <c r="BJ83" s="62">
        <f t="shared" si="92"/>
        <v>388.05195847800502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79.109288844252262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79.109288844252262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295.83974441964551</v>
      </c>
      <c r="T84" s="62">
        <f t="shared" si="88"/>
        <v>212.24900914818096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186.62069899552498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22.271542707035245</v>
      </c>
      <c r="AC84" s="24">
        <f t="shared" si="57"/>
        <v>208.89224170256023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-4.5474735088646412E-13</v>
      </c>
      <c r="AJ84" s="14">
        <f>AI84*VLOOKUP('Données projet'!$B$10,Paramètres!$A$1:$I$89,3,0)*VLOOKUP('Données projet'!$B$10,Paramètres!$A$1:$I$89,5,0)</f>
        <v>-2.5420376914553347E-13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512.21337090113502</v>
      </c>
      <c r="AO84" s="62">
        <f t="shared" si="90"/>
        <v>621.03633124474163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242.3186240562745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0.17880013955762378</v>
      </c>
      <c r="AX84" s="23">
        <f t="shared" si="60"/>
        <v>242.49742419583214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1.9895196601282805E-13</v>
      </c>
      <c r="BE84" s="14">
        <f>BD84*VLOOKUP('Données projet'!$B$11,Paramètres!$A$1:$I$89,3,0)*VLOOKUP('Données projet'!$B$11,Paramètres!$A$1:$I$89,5,0)</f>
        <v>1.738044375088066E-13</v>
      </c>
      <c r="BF84" s="14">
        <f t="shared" si="91"/>
        <v>2.4483293633950478E-12</v>
      </c>
      <c r="BG84" s="22">
        <f t="shared" si="61"/>
        <v>4.566883036574213E-12</v>
      </c>
      <c r="BH84" s="62">
        <f t="shared" si="62"/>
        <v>293.33333333333786</v>
      </c>
      <c r="BI84" s="62">
        <f ca="1">AVERAGE(OFFSET($BH$3,0,0,'Données projet'!$E$11+1,1))-AVERAGE(OFFSET($H$3,0,0,'Données projet'!$E$11+1,1))</f>
        <v>321.23599968992932</v>
      </c>
      <c r="BJ84" s="62">
        <f t="shared" si="92"/>
        <v>388.05195847800502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77.558003941918187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77.558003941918187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295.83974441964551</v>
      </c>
      <c r="T85" s="62">
        <f t="shared" si="88"/>
        <v>212.24900914818096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182.96118091560959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15.748358875630419</v>
      </c>
      <c r="AC85" s="24">
        <f t="shared" si="57"/>
        <v>198.70953979124002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-4.5474735088646412E-13</v>
      </c>
      <c r="AJ85" s="14">
        <f>AI85*VLOOKUP('Données projet'!$B$10,Paramètres!$A$1:$I$89,3,0)*VLOOKUP('Données projet'!$B$10,Paramètres!$A$1:$I$89,5,0)</f>
        <v>-2.5420376914553347E-13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512.21337090113502</v>
      </c>
      <c r="AO85" s="62">
        <f t="shared" si="90"/>
        <v>621.03633124474163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237.56690363829762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0.12643079115829683</v>
      </c>
      <c r="AX85" s="23">
        <f t="shared" si="60"/>
        <v>237.69333442945592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1.9895196601282805E-13</v>
      </c>
      <c r="BE85" s="14">
        <f>BD85*VLOOKUP('Données projet'!$B$11,Paramètres!$A$1:$I$89,3,0)*VLOOKUP('Données projet'!$B$11,Paramètres!$A$1:$I$89,5,0)</f>
        <v>1.738044375088066E-13</v>
      </c>
      <c r="BF85" s="14">
        <f t="shared" si="91"/>
        <v>2.4483293633950478E-12</v>
      </c>
      <c r="BG85" s="22">
        <f t="shared" si="61"/>
        <v>4.566883036574213E-12</v>
      </c>
      <c r="BH85" s="62">
        <f t="shared" si="62"/>
        <v>293.33333333333786</v>
      </c>
      <c r="BI85" s="62">
        <f ca="1">AVERAGE(OFFSET($BH$3,0,0,'Données projet'!$E$11+1,1))-AVERAGE(OFFSET($H$3,0,0,'Données projet'!$E$11+1,1))</f>
        <v>321.23599968992932</v>
      </c>
      <c r="BJ85" s="62">
        <f t="shared" si="92"/>
        <v>388.05195847800502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76.037138790328527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76.037138790328527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295.83974441964551</v>
      </c>
      <c r="T86" s="62">
        <f t="shared" si="88"/>
        <v>212.24900914818096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179.37342375315572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11.135771353517624</v>
      </c>
      <c r="AC86" s="24">
        <f t="shared" si="57"/>
        <v>190.50919510667333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-4.5474735088646412E-13</v>
      </c>
      <c r="AJ86" s="14">
        <f>AI86*VLOOKUP('Données projet'!$B$10,Paramètres!$A$1:$I$89,3,0)*VLOOKUP('Données projet'!$B$10,Paramètres!$A$1:$I$89,5,0)</f>
        <v>-2.5420376914553347E-13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512.21337090113502</v>
      </c>
      <c r="AO86" s="62">
        <f t="shared" si="90"/>
        <v>621.03633124474163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232.90836155945399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8.9400069778811889E-2</v>
      </c>
      <c r="AX86" s="23">
        <f t="shared" si="60"/>
        <v>232.9977616292328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1.9895196601282805E-13</v>
      </c>
      <c r="BE86" s="14">
        <f>BD86*VLOOKUP('Données projet'!$B$11,Paramètres!$A$1:$I$89,3,0)*VLOOKUP('Données projet'!$B$11,Paramètres!$A$1:$I$89,5,0)</f>
        <v>1.738044375088066E-13</v>
      </c>
      <c r="BF86" s="14">
        <f t="shared" si="91"/>
        <v>2.4483293633950478E-12</v>
      </c>
      <c r="BG86" s="22">
        <f t="shared" si="61"/>
        <v>4.566883036574213E-12</v>
      </c>
      <c r="BH86" s="62">
        <f t="shared" si="62"/>
        <v>293.33333333333786</v>
      </c>
      <c r="BI86" s="62">
        <f ca="1">AVERAGE(OFFSET($BH$3,0,0,'Données projet'!$E$11+1,1))-AVERAGE(OFFSET($H$3,0,0,'Données projet'!$E$11+1,1))</f>
        <v>321.23599968992932</v>
      </c>
      <c r="BJ86" s="62">
        <f t="shared" si="92"/>
        <v>388.05195847800502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74.546096876725386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74.546096876725386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295.83974441964551</v>
      </c>
      <c r="T87" s="62">
        <f t="shared" si="88"/>
        <v>212.24900914818096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175.85602032034177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7.8741794378152115</v>
      </c>
      <c r="AC87" s="24">
        <f t="shared" si="57"/>
        <v>183.73019975815697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-4.5474735088646412E-13</v>
      </c>
      <c r="AJ87" s="14">
        <f>AI87*VLOOKUP('Données projet'!$B$10,Paramètres!$A$1:$I$89,3,0)*VLOOKUP('Données projet'!$B$10,Paramètres!$A$1:$I$89,5,0)</f>
        <v>-2.5420376914553347E-13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512.21337090113502</v>
      </c>
      <c r="AO87" s="62">
        <f t="shared" si="90"/>
        <v>621.03633124474163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228.3411706493464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6.3215395579148417E-2</v>
      </c>
      <c r="AX87" s="23">
        <f t="shared" si="60"/>
        <v>228.40438604492553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1.9895196601282805E-13</v>
      </c>
      <c r="BE87" s="14">
        <f>BD87*VLOOKUP('Données projet'!$B$11,Paramètres!$A$1:$I$89,3,0)*VLOOKUP('Données projet'!$B$11,Paramètres!$A$1:$I$89,5,0)</f>
        <v>1.738044375088066E-13</v>
      </c>
      <c r="BF87" s="14">
        <f t="shared" si="91"/>
        <v>2.4483293633950478E-12</v>
      </c>
      <c r="BG87" s="22">
        <f t="shared" si="61"/>
        <v>4.566883036574213E-12</v>
      </c>
      <c r="BH87" s="62">
        <f t="shared" si="62"/>
        <v>293.33333333333786</v>
      </c>
      <c r="BI87" s="62">
        <f ca="1">AVERAGE(OFFSET($BH$3,0,0,'Données projet'!$E$11+1,1))-AVERAGE(OFFSET($H$3,0,0,'Données projet'!$E$11+1,1))</f>
        <v>321.23599968992932</v>
      </c>
      <c r="BJ87" s="62">
        <f t="shared" si="92"/>
        <v>388.05195847800502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73.084293385602237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73.084293385602237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295.83974441964551</v>
      </c>
      <c r="T88" s="62">
        <f t="shared" si="88"/>
        <v>212.24900914818096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172.40759102344106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5.567885676758813</v>
      </c>
      <c r="AC88" s="24">
        <f t="shared" si="57"/>
        <v>177.97547670019986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-4.5474735088646412E-13</v>
      </c>
      <c r="AJ88" s="14">
        <f>AI88*VLOOKUP('Données projet'!$B$10,Paramètres!$A$1:$I$89,3,0)*VLOOKUP('Données projet'!$B$10,Paramètres!$A$1:$I$89,5,0)</f>
        <v>-2.5420376914553347E-13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512.21337090113502</v>
      </c>
      <c r="AO88" s="62">
        <f t="shared" si="90"/>
        <v>621.03633124474163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223.86353956727461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4.4700034889405944E-2</v>
      </c>
      <c r="AX88" s="23">
        <f t="shared" si="60"/>
        <v>223.90823960216403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1.9895196601282805E-13</v>
      </c>
      <c r="BE88" s="14">
        <f>BD88*VLOOKUP('Données projet'!$B$11,Paramètres!$A$1:$I$89,3,0)*VLOOKUP('Données projet'!$B$11,Paramètres!$A$1:$I$89,5,0)</f>
        <v>1.738044375088066E-13</v>
      </c>
      <c r="BF88" s="14">
        <f t="shared" si="91"/>
        <v>2.4483293633950478E-12</v>
      </c>
      <c r="BG88" s="22">
        <f t="shared" si="61"/>
        <v>4.566883036574213E-12</v>
      </c>
      <c r="BH88" s="62">
        <f t="shared" si="62"/>
        <v>293.33333333333786</v>
      </c>
      <c r="BI88" s="62">
        <f ca="1">AVERAGE(OFFSET($BH$3,0,0,'Données projet'!$E$11+1,1))-AVERAGE(OFFSET($H$3,0,0,'Données projet'!$E$11+1,1))</f>
        <v>321.23599968992932</v>
      </c>
      <c r="BJ88" s="62">
        <f t="shared" si="92"/>
        <v>388.05195847800502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71.651154969327933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71.651154969327933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295.83974441964551</v>
      </c>
      <c r="T89" s="62">
        <f t="shared" si="88"/>
        <v>212.24900914818096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169.0267833217184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3.9370897189076062</v>
      </c>
      <c r="AC89" s="24">
        <f t="shared" si="57"/>
        <v>172.963873040626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-4.5474735088646412E-13</v>
      </c>
      <c r="AJ89" s="14">
        <f>AI89*VLOOKUP('Données projet'!$B$10,Paramètres!$A$1:$I$89,3,0)*VLOOKUP('Données projet'!$B$10,Paramètres!$A$1:$I$89,5,0)</f>
        <v>-2.5420376914553347E-13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512.21337090113502</v>
      </c>
      <c r="AO89" s="62">
        <f t="shared" si="90"/>
        <v>621.03633124474163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219.47371209963697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3.1607697789574209E-2</v>
      </c>
      <c r="AX89" s="23">
        <f t="shared" si="60"/>
        <v>219.50531979742655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1.9895196601282805E-13</v>
      </c>
      <c r="BE89" s="14">
        <f>BD89*VLOOKUP('Données projet'!$B$11,Paramètres!$A$1:$I$89,3,0)*VLOOKUP('Données projet'!$B$11,Paramètres!$A$1:$I$89,5,0)</f>
        <v>1.738044375088066E-13</v>
      </c>
      <c r="BF89" s="14">
        <f t="shared" si="91"/>
        <v>2.4483293633950478E-12</v>
      </c>
      <c r="BG89" s="22">
        <f t="shared" si="61"/>
        <v>4.566883036574213E-12</v>
      </c>
      <c r="BH89" s="62">
        <f t="shared" si="62"/>
        <v>293.33333333333786</v>
      </c>
      <c r="BI89" s="62">
        <f ca="1">AVERAGE(OFFSET($BH$3,0,0,'Données projet'!$E$11+1,1))-AVERAGE(OFFSET($H$3,0,0,'Données projet'!$E$11+1,1))</f>
        <v>321.23599968992932</v>
      </c>
      <c r="BJ89" s="62">
        <f t="shared" si="92"/>
        <v>388.05195847800502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70.246119523268646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70.246119523268646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295.83974441964551</v>
      </c>
      <c r="T90" s="62">
        <f t="shared" si="88"/>
        <v>212.24900914818096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165.71227119693742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2.7839428383794069</v>
      </c>
      <c r="AC90" s="24">
        <f t="shared" si="57"/>
        <v>168.49621403531683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-4.5474735088646412E-13</v>
      </c>
      <c r="AJ90" s="14">
        <f>AI90*VLOOKUP('Données projet'!$B$10,Paramètres!$A$1:$I$89,3,0)*VLOOKUP('Données projet'!$B$10,Paramètres!$A$1:$I$89,5,0)</f>
        <v>-2.5420376914553347E-13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512.21337090113502</v>
      </c>
      <c r="AO90" s="62">
        <f t="shared" si="90"/>
        <v>621.03633124474163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215.16996647110932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2.2350017444702972E-2</v>
      </c>
      <c r="AX90" s="23">
        <f t="shared" si="60"/>
        <v>215.19231648855401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1.9895196601282805E-13</v>
      </c>
      <c r="BE90" s="14">
        <f>BD90*VLOOKUP('Données projet'!$B$11,Paramètres!$A$1:$I$89,3,0)*VLOOKUP('Données projet'!$B$11,Paramètres!$A$1:$I$89,5,0)</f>
        <v>1.738044375088066E-13</v>
      </c>
      <c r="BF90" s="14">
        <f t="shared" si="91"/>
        <v>2.4483293633950478E-12</v>
      </c>
      <c r="BG90" s="22">
        <f t="shared" si="61"/>
        <v>4.566883036574213E-12</v>
      </c>
      <c r="BH90" s="62">
        <f t="shared" si="62"/>
        <v>293.33333333333786</v>
      </c>
      <c r="BI90" s="62">
        <f ca="1">AVERAGE(OFFSET($BH$3,0,0,'Données projet'!$E$11+1,1))-AVERAGE(OFFSET($H$3,0,0,'Données projet'!$E$11+1,1))</f>
        <v>321.23599968992932</v>
      </c>
      <c r="BJ90" s="62">
        <f t="shared" si="92"/>
        <v>388.05195847800502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68.868635965319569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68.868635965319569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295.83974441964551</v>
      </c>
      <c r="T91" s="62">
        <f t="shared" si="88"/>
        <v>212.24900914818096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162.46275463327063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1.9685448594538035</v>
      </c>
      <c r="AC91" s="24">
        <f t="shared" si="57"/>
        <v>164.43129949272443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-4.5474735088646412E-13</v>
      </c>
      <c r="AJ91" s="14">
        <f>AI91*VLOOKUP('Données projet'!$B$10,Paramètres!$A$1:$I$89,3,0)*VLOOKUP('Données projet'!$B$10,Paramètres!$A$1:$I$89,5,0)</f>
        <v>-2.5420376914553347E-13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512.21337090113502</v>
      </c>
      <c r="AO91" s="62">
        <f t="shared" si="90"/>
        <v>621.03633124474163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210.95061466933146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1.5803848894787104E-2</v>
      </c>
      <c r="AX91" s="23">
        <f t="shared" si="60"/>
        <v>210.96641851822625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1.9895196601282805E-13</v>
      </c>
      <c r="BE91" s="14">
        <f>BD91*VLOOKUP('Données projet'!$B$11,Paramètres!$A$1:$I$89,3,0)*VLOOKUP('Données projet'!$B$11,Paramètres!$A$1:$I$89,5,0)</f>
        <v>1.738044375088066E-13</v>
      </c>
      <c r="BF91" s="14">
        <f t="shared" si="91"/>
        <v>2.4483293633950478E-12</v>
      </c>
      <c r="BG91" s="22">
        <f t="shared" si="61"/>
        <v>4.566883036574213E-12</v>
      </c>
      <c r="BH91" s="62">
        <f t="shared" si="62"/>
        <v>293.33333333333786</v>
      </c>
      <c r="BI91" s="62">
        <f ca="1">AVERAGE(OFFSET($BH$3,0,0,'Données projet'!$E$11+1,1))-AVERAGE(OFFSET($H$3,0,0,'Données projet'!$E$11+1,1))</f>
        <v>321.23599968992932</v>
      </c>
      <c r="BJ91" s="62">
        <f t="shared" si="92"/>
        <v>388.05195847800502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67.518164019759865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67.518164019759865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295.83974441964551</v>
      </c>
      <c r="T92" s="62">
        <f t="shared" si="88"/>
        <v>212.24900914818096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159.27695910740795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1.3919714191897037</v>
      </c>
      <c r="AC92" s="24">
        <f t="shared" si="57"/>
        <v>160.66893052659765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-4.5474735088646412E-13</v>
      </c>
      <c r="AJ92" s="14">
        <f>AI92*VLOOKUP('Données projet'!$B$10,Paramètres!$A$1:$I$89,3,0)*VLOOKUP('Données projet'!$B$10,Paramètres!$A$1:$I$89,5,0)</f>
        <v>-2.5420376914553347E-13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512.21337090113502</v>
      </c>
      <c r="AO92" s="62">
        <f t="shared" si="90"/>
        <v>621.03633124474163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206.81400178283599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1.1175008722351486E-2</v>
      </c>
      <c r="AX92" s="23">
        <f t="shared" si="60"/>
        <v>206.82517679155833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1.9895196601282805E-13</v>
      </c>
      <c r="BE92" s="14">
        <f>BD92*VLOOKUP('Données projet'!$B$11,Paramètres!$A$1:$I$89,3,0)*VLOOKUP('Données projet'!$B$11,Paramètres!$A$1:$I$89,5,0)</f>
        <v>1.738044375088066E-13</v>
      </c>
      <c r="BF92" s="14">
        <f t="shared" si="91"/>
        <v>2.4483293633950478E-12</v>
      </c>
      <c r="BG92" s="22">
        <f t="shared" si="61"/>
        <v>4.566883036574213E-12</v>
      </c>
      <c r="BH92" s="62">
        <f t="shared" si="62"/>
        <v>293.33333333333786</v>
      </c>
      <c r="BI92" s="62">
        <f ca="1">AVERAGE(OFFSET($BH$3,0,0,'Données projet'!$E$11+1,1))-AVERAGE(OFFSET($H$3,0,0,'Données projet'!$E$11+1,1))</f>
        <v>321.23599968992932</v>
      </c>
      <c r="BJ92" s="62">
        <f t="shared" si="92"/>
        <v>388.05195847800502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66.194174005346042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66.194174005346042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295.83974441964551</v>
      </c>
      <c r="T93" s="62">
        <f t="shared" si="88"/>
        <v>212.24900914818096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156.15363508866403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0.98427242972690188</v>
      </c>
      <c r="AC93" s="24">
        <f t="shared" si="57"/>
        <v>157.13790751839093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-4.5474735088646412E-13</v>
      </c>
      <c r="AJ93" s="14">
        <f>AI93*VLOOKUP('Données projet'!$B$10,Paramètres!$A$1:$I$89,3,0)*VLOOKUP('Données projet'!$B$10,Paramètres!$A$1:$I$89,5,0)</f>
        <v>-2.5420376914553347E-13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512.21337090113502</v>
      </c>
      <c r="AO93" s="62">
        <f t="shared" si="90"/>
        <v>621.03633124474163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202.75850535195997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7.9019244473935522E-3</v>
      </c>
      <c r="AX93" s="23">
        <f t="shared" si="60"/>
        <v>202.76640727640736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1.9895196601282805E-13</v>
      </c>
      <c r="BE93" s="14">
        <f>BD93*VLOOKUP('Données projet'!$B$11,Paramètres!$A$1:$I$89,3,0)*VLOOKUP('Données projet'!$B$11,Paramètres!$A$1:$I$89,5,0)</f>
        <v>1.738044375088066E-13</v>
      </c>
      <c r="BF93" s="14">
        <f t="shared" si="91"/>
        <v>2.4483293633950478E-12</v>
      </c>
      <c r="BG93" s="22">
        <f t="shared" si="61"/>
        <v>4.566883036574213E-12</v>
      </c>
      <c r="BH93" s="62">
        <f t="shared" si="62"/>
        <v>293.33333333333786</v>
      </c>
      <c r="BI93" s="62">
        <f ca="1">AVERAGE(OFFSET($BH$3,0,0,'Données projet'!$E$11+1,1))-AVERAGE(OFFSET($H$3,0,0,'Données projet'!$E$11+1,1))</f>
        <v>321.23599968992932</v>
      </c>
      <c r="BJ93" s="62">
        <f t="shared" si="92"/>
        <v>388.05195847800502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64.896146627560697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64.896146627560697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295.83974441964551</v>
      </c>
      <c r="T94" s="62">
        <f t="shared" si="88"/>
        <v>212.24900914818096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153.09155754888815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0.69598570959485195</v>
      </c>
      <c r="AC94" s="24">
        <f t="shared" si="57"/>
        <v>153.787543258483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-4.5474735088646412E-13</v>
      </c>
      <c r="AJ94" s="14">
        <f>AI94*VLOOKUP('Données projet'!$B$10,Paramètres!$A$1:$I$89,3,0)*VLOOKUP('Données projet'!$B$10,Paramètres!$A$1:$I$89,5,0)</f>
        <v>-2.5420376914553347E-13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512.21337090113502</v>
      </c>
      <c r="AO94" s="62">
        <f t="shared" si="90"/>
        <v>621.03633124474163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198.78253473248486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5.587504361175743E-3</v>
      </c>
      <c r="AX94" s="23">
        <f t="shared" si="60"/>
        <v>198.78812223684605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1.9895196601282805E-13</v>
      </c>
      <c r="BE94" s="14">
        <f>BD94*VLOOKUP('Données projet'!$B$11,Paramètres!$A$1:$I$89,3,0)*VLOOKUP('Données projet'!$B$11,Paramètres!$A$1:$I$89,5,0)</f>
        <v>1.738044375088066E-13</v>
      </c>
      <c r="BF94" s="14">
        <f t="shared" si="91"/>
        <v>2.4483293633950478E-12</v>
      </c>
      <c r="BG94" s="22">
        <f t="shared" si="61"/>
        <v>4.566883036574213E-12</v>
      </c>
      <c r="BH94" s="62">
        <f t="shared" si="62"/>
        <v>293.33333333333786</v>
      </c>
      <c r="BI94" s="62">
        <f ca="1">AVERAGE(OFFSET($BH$3,0,0,'Données projet'!$E$11+1,1))-AVERAGE(OFFSET($H$3,0,0,'Données projet'!$E$11+1,1))</f>
        <v>321.23599968992932</v>
      </c>
      <c r="BJ94" s="62">
        <f t="shared" si="92"/>
        <v>388.05195847800502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63.623572774935205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63.623572774935205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295.83974441964551</v>
      </c>
      <c r="T95" s="62">
        <f t="shared" si="88"/>
        <v>212.24900914818096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150.08952548198437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0.49213621486345105</v>
      </c>
      <c r="AC95" s="24">
        <f t="shared" si="57"/>
        <v>150.58166169684782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-4.5474735088646412E-13</v>
      </c>
      <c r="AJ95" s="14">
        <f>AI95*VLOOKUP('Données projet'!$B$10,Paramètres!$A$1:$I$89,3,0)*VLOOKUP('Données projet'!$B$10,Paramètres!$A$1:$I$89,5,0)</f>
        <v>-2.5420376914553347E-13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512.21337090113502</v>
      </c>
      <c r="AO95" s="62">
        <f t="shared" si="90"/>
        <v>621.03633124474163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194.88453047175503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3.9509622236967761E-3</v>
      </c>
      <c r="AX95" s="23">
        <f t="shared" si="60"/>
        <v>194.88848143397871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1.9895196601282805E-13</v>
      </c>
      <c r="BE95" s="14">
        <f>BD95*VLOOKUP('Données projet'!$B$11,Paramètres!$A$1:$I$89,3,0)*VLOOKUP('Données projet'!$B$11,Paramètres!$A$1:$I$89,5,0)</f>
        <v>1.738044375088066E-13</v>
      </c>
      <c r="BF95" s="14">
        <f t="shared" si="91"/>
        <v>2.4483293633950478E-12</v>
      </c>
      <c r="BG95" s="22">
        <f t="shared" si="61"/>
        <v>4.566883036574213E-12</v>
      </c>
      <c r="BH95" s="62">
        <f t="shared" si="62"/>
        <v>293.33333333333786</v>
      </c>
      <c r="BI95" s="62">
        <f ca="1">AVERAGE(OFFSET($BH$3,0,0,'Données projet'!$E$11+1,1))-AVERAGE(OFFSET($H$3,0,0,'Données projet'!$E$11+1,1))</f>
        <v>321.23599968992932</v>
      </c>
      <c r="BJ95" s="62">
        <f t="shared" si="92"/>
        <v>388.05195847800502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62.375953319366289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62.375953319366289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295.83974441964551</v>
      </c>
      <c r="T96" s="62">
        <f t="shared" si="88"/>
        <v>212.24900914818096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147.14636143285384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0.34799285479742603</v>
      </c>
      <c r="AC96" s="24">
        <f t="shared" si="57"/>
        <v>147.49435428765128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-4.5474735088646412E-13</v>
      </c>
      <c r="AJ96" s="14">
        <f>AI96*VLOOKUP('Données projet'!$B$10,Paramètres!$A$1:$I$89,3,0)*VLOOKUP('Données projet'!$B$10,Paramètres!$A$1:$I$89,5,0)</f>
        <v>-2.5420376914553347E-13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512.21337090113502</v>
      </c>
      <c r="AO96" s="62">
        <f t="shared" si="90"/>
        <v>621.03633124474163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191.06296369703028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2.7937521805878715E-3</v>
      </c>
      <c r="AX96" s="23">
        <f t="shared" si="60"/>
        <v>191.06575744921088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1.9895196601282805E-13</v>
      </c>
      <c r="BE96" s="14">
        <f>BD96*VLOOKUP('Données projet'!$B$11,Paramètres!$A$1:$I$89,3,0)*VLOOKUP('Données projet'!$B$11,Paramètres!$A$1:$I$89,5,0)</f>
        <v>1.738044375088066E-13</v>
      </c>
      <c r="BF96" s="14">
        <f t="shared" si="91"/>
        <v>2.4483293633950478E-12</v>
      </c>
      <c r="BG96" s="22">
        <f t="shared" si="61"/>
        <v>4.566883036574213E-12</v>
      </c>
      <c r="BH96" s="62">
        <f t="shared" si="62"/>
        <v>293.33333333333786</v>
      </c>
      <c r="BI96" s="62">
        <f ca="1">AVERAGE(OFFSET($BH$3,0,0,'Données projet'!$E$11+1,1))-AVERAGE(OFFSET($H$3,0,0,'Données projet'!$E$11+1,1))</f>
        <v>321.23599968992932</v>
      </c>
      <c r="BJ96" s="62">
        <f t="shared" si="92"/>
        <v>388.05195847800502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61.152798920348353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61.152798920348353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295.83974441964551</v>
      </c>
      <c r="T97" s="62">
        <f t="shared" si="88"/>
        <v>212.24900914818096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144.26091103557394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0.24606810743172555</v>
      </c>
      <c r="AC97" s="24">
        <f t="shared" si="57"/>
        <v>144.50697914300568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-4.5474735088646412E-13</v>
      </c>
      <c r="AJ97" s="14">
        <f>AI97*VLOOKUP('Données projet'!$B$10,Paramètres!$A$1:$I$89,3,0)*VLOOKUP('Données projet'!$B$10,Paramètres!$A$1:$I$89,5,0)</f>
        <v>-2.5420376914553347E-13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512.21337090113502</v>
      </c>
      <c r="AO97" s="62">
        <f t="shared" si="90"/>
        <v>621.03633124474163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187.31633551583232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1.975481111848388E-3</v>
      </c>
      <c r="AX97" s="23">
        <f t="shared" si="60"/>
        <v>187.31831099694418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1.9895196601282805E-13</v>
      </c>
      <c r="BE97" s="14">
        <f>BD97*VLOOKUP('Données projet'!$B$11,Paramètres!$A$1:$I$89,3,0)*VLOOKUP('Données projet'!$B$11,Paramètres!$A$1:$I$89,5,0)</f>
        <v>1.738044375088066E-13</v>
      </c>
      <c r="BF97" s="14">
        <f t="shared" si="91"/>
        <v>2.4483293633950478E-12</v>
      </c>
      <c r="BG97" s="22">
        <f t="shared" si="61"/>
        <v>4.566883036574213E-12</v>
      </c>
      <c r="BH97" s="62">
        <f t="shared" si="62"/>
        <v>293.33333333333786</v>
      </c>
      <c r="BI97" s="62">
        <f ca="1">AVERAGE(OFFSET($BH$3,0,0,'Données projet'!$E$11+1,1))-AVERAGE(OFFSET($H$3,0,0,'Données projet'!$E$11+1,1))</f>
        <v>321.23599968992932</v>
      </c>
      <c r="BJ97" s="62">
        <f t="shared" si="92"/>
        <v>388.05195847800502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59.953629833044644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59.953629833044644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295.83974441964551</v>
      </c>
      <c r="T98" s="62">
        <f t="shared" si="88"/>
        <v>212.24900914818096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141.43204256063373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0.17399642739871304</v>
      </c>
      <c r="AC98" s="24">
        <f t="shared" si="57"/>
        <v>141.60603898803245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-4.5474735088646412E-13</v>
      </c>
      <c r="AJ98" s="14">
        <f>AI98*VLOOKUP('Données projet'!$B$10,Paramètres!$A$1:$I$89,3,0)*VLOOKUP('Données projet'!$B$10,Paramètres!$A$1:$I$89,5,0)</f>
        <v>-2.5420376914553347E-13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512.21337090113502</v>
      </c>
      <c r="AO98" s="62">
        <f t="shared" si="90"/>
        <v>621.03633124474163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183.64317642805011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1.3968760902939358E-3</v>
      </c>
      <c r="AX98" s="23">
        <f t="shared" si="60"/>
        <v>183.64457330414041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1.9895196601282805E-13</v>
      </c>
      <c r="BE98" s="14">
        <f>BD98*VLOOKUP('Données projet'!$B$11,Paramètres!$A$1:$I$89,3,0)*VLOOKUP('Données projet'!$B$11,Paramètres!$A$1:$I$89,5,0)</f>
        <v>1.738044375088066E-13</v>
      </c>
      <c r="BF98" s="14">
        <f t="shared" si="91"/>
        <v>2.4483293633950478E-12</v>
      </c>
      <c r="BG98" s="22">
        <f t="shared" si="61"/>
        <v>4.566883036574213E-12</v>
      </c>
      <c r="BH98" s="62">
        <f t="shared" si="62"/>
        <v>293.33333333333786</v>
      </c>
      <c r="BI98" s="62">
        <f ca="1">AVERAGE(OFFSET($BH$3,0,0,'Données projet'!$E$11+1,1))-AVERAGE(OFFSET($H$3,0,0,'Données projet'!$E$11+1,1))</f>
        <v>321.23599968992932</v>
      </c>
      <c r="BJ98" s="62">
        <f t="shared" si="92"/>
        <v>388.05195847800502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58.777975720122036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58.777975720122036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295.83974441964551</v>
      </c>
      <c r="T99" s="62">
        <f t="shared" si="88"/>
        <v>212.24900914818096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138.65864647104769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0.12303405371586279</v>
      </c>
      <c r="AC99" s="24">
        <f t="shared" si="57"/>
        <v>138.78168052476354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-4.5474735088646412E-13</v>
      </c>
      <c r="AJ99" s="14">
        <f>AI99*VLOOKUP('Données projet'!$B$10,Paramètres!$A$1:$I$89,3,0)*VLOOKUP('Données projet'!$B$10,Paramètres!$A$1:$I$89,5,0)</f>
        <v>-2.5420376914553347E-13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512.21337090113502</v>
      </c>
      <c r="AO99" s="62">
        <f t="shared" si="90"/>
        <v>621.03633124474163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180.04204574957348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9.8774055592419402E-4</v>
      </c>
      <c r="AX99" s="23">
        <f t="shared" si="60"/>
        <v>180.0430334901294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1.9895196601282805E-13</v>
      </c>
      <c r="BE99" s="14">
        <f>BD99*VLOOKUP('Données projet'!$B$11,Paramètres!$A$1:$I$89,3,0)*VLOOKUP('Données projet'!$B$11,Paramètres!$A$1:$I$89,5,0)</f>
        <v>1.738044375088066E-13</v>
      </c>
      <c r="BF99" s="14">
        <f t="shared" si="91"/>
        <v>2.4483293633950478E-12</v>
      </c>
      <c r="BG99" s="22">
        <f t="shared" si="61"/>
        <v>4.566883036574213E-12</v>
      </c>
      <c r="BH99" s="62">
        <f t="shared" si="62"/>
        <v>293.33333333333786</v>
      </c>
      <c r="BI99" s="62">
        <f ca="1">AVERAGE(OFFSET($BH$3,0,0,'Données projet'!$E$11+1,1))-AVERAGE(OFFSET($H$3,0,0,'Données projet'!$E$11+1,1))</f>
        <v>321.23599968992932</v>
      </c>
      <c r="BJ99" s="62">
        <f t="shared" si="92"/>
        <v>388.05195847800502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57.625375467275639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57.625375467275639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295.83974441964551</v>
      </c>
      <c r="T100" s="62">
        <f t="shared" si="88"/>
        <v>212.24900914818096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135.93963498717386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8.6998213699356536E-2</v>
      </c>
      <c r="AC100" s="24">
        <f t="shared" si="57"/>
        <v>136.02663320087322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-4.5474735088646412E-13</v>
      </c>
      <c r="AJ100" s="14">
        <f>AI100*VLOOKUP('Données projet'!$B$10,Paramètres!$A$1:$I$89,3,0)*VLOOKUP('Données projet'!$B$10,Paramètres!$A$1:$I$89,5,0)</f>
        <v>-2.5420376914553347E-13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512.21337090113502</v>
      </c>
      <c r="AO100" s="62">
        <f t="shared" si="90"/>
        <v>621.03633124474163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176.51153104722894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6.9843804514696788E-4</v>
      </c>
      <c r="AX100" s="23">
        <f t="shared" si="60"/>
        <v>176.51222948527408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1.9895196601282805E-13</v>
      </c>
      <c r="BE100" s="14">
        <f>BD100*VLOOKUP('Données projet'!$B$11,Paramètres!$A$1:$I$89,3,0)*VLOOKUP('Données projet'!$B$11,Paramètres!$A$1:$I$89,5,0)</f>
        <v>1.738044375088066E-13</v>
      </c>
      <c r="BF100" s="14">
        <f t="shared" si="91"/>
        <v>2.4483293633950478E-12</v>
      </c>
      <c r="BG100" s="22">
        <f t="shared" si="61"/>
        <v>4.566883036574213E-12</v>
      </c>
      <c r="BH100" s="62">
        <f t="shared" si="62"/>
        <v>293.33333333333786</v>
      </c>
      <c r="BI100" s="62">
        <f ca="1">AVERAGE(OFFSET($BH$3,0,0,'Données projet'!$E$11+1,1))-AVERAGE(OFFSET($H$3,0,0,'Données projet'!$E$11+1,1))</f>
        <v>321.23599968992932</v>
      </c>
      <c r="BJ100" s="62">
        <f t="shared" si="92"/>
        <v>388.05195847800502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56.495377002370823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56.495377002370823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295.83974441964551</v>
      </c>
      <c r="T101" s="62">
        <f t="shared" si="88"/>
        <v>212.24900914818096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133.27394166006556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6.1517026857931409E-2</v>
      </c>
      <c r="AC101" s="24">
        <f t="shared" si="57"/>
        <v>133.33545868692349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-4.5474735088646412E-13</v>
      </c>
      <c r="AJ101" s="14">
        <f>AI101*VLOOKUP('Données projet'!$B$10,Paramètres!$A$1:$I$89,3,0)*VLOOKUP('Données projet'!$B$10,Paramètres!$A$1:$I$89,5,0)</f>
        <v>-2.5420376914553347E-13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512.21337090113502</v>
      </c>
      <c r="AO101" s="62">
        <f t="shared" si="90"/>
        <v>621.03633124474163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173.05024758479604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4.9387027796209701E-4</v>
      </c>
      <c r="AX101" s="23">
        <f t="shared" si="60"/>
        <v>173.05074145507399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1.9895196601282805E-13</v>
      </c>
      <c r="BE101" s="14">
        <f>BD101*VLOOKUP('Données projet'!$B$11,Paramètres!$A$1:$I$89,3,0)*VLOOKUP('Données projet'!$B$11,Paramètres!$A$1:$I$89,5,0)</f>
        <v>1.738044375088066E-13</v>
      </c>
      <c r="BF101" s="14">
        <f t="shared" si="91"/>
        <v>2.4483293633950478E-12</v>
      </c>
      <c r="BG101" s="22">
        <f t="shared" si="61"/>
        <v>4.566883036574213E-12</v>
      </c>
      <c r="BH101" s="62">
        <f t="shared" si="62"/>
        <v>293.33333333333786</v>
      </c>
      <c r="BI101" s="62">
        <f ca="1">AVERAGE(OFFSET($BH$3,0,0,'Données projet'!$E$11+1,1))-AVERAGE(OFFSET($H$3,0,0,'Données projet'!$E$11+1,1))</f>
        <v>321.23599968992932</v>
      </c>
      <c r="BJ101" s="62">
        <f t="shared" si="92"/>
        <v>388.05195847800502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55.387537118131782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55.387537118131782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295.83974441964551</v>
      </c>
      <c r="T102" s="62">
        <f t="shared" si="88"/>
        <v>212.24900914818096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130.66052095318946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4.3499106849678275E-2</v>
      </c>
      <c r="AC102" s="24">
        <f t="shared" si="57"/>
        <v>130.70402006003914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-4.5474735088646412E-13</v>
      </c>
      <c r="AJ102" s="14">
        <f>AI102*VLOOKUP('Données projet'!$B$10,Paramètres!$A$1:$I$89,3,0)*VLOOKUP('Données projet'!$B$10,Paramètres!$A$1:$I$89,5,0)</f>
        <v>-2.5420376914553347E-13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512.21337090113502</v>
      </c>
      <c r="AO102" s="62">
        <f t="shared" si="90"/>
        <v>621.03633124474163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169.65683777988698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3.4921902257348394E-4</v>
      </c>
      <c r="AX102" s="23">
        <f t="shared" si="60"/>
        <v>169.65718699890957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1.9895196601282805E-13</v>
      </c>
      <c r="BE102" s="14">
        <f>BD102*VLOOKUP('Données projet'!$B$11,Paramètres!$A$1:$I$89,3,0)*VLOOKUP('Données projet'!$B$11,Paramètres!$A$1:$I$89,5,0)</f>
        <v>1.738044375088066E-13</v>
      </c>
      <c r="BF102" s="14">
        <f t="shared" si="91"/>
        <v>2.4483293633950478E-12</v>
      </c>
      <c r="BG102" s="22">
        <f t="shared" si="61"/>
        <v>4.566883036574213E-12</v>
      </c>
      <c r="BH102" s="62">
        <f t="shared" si="62"/>
        <v>293.33333333333786</v>
      </c>
      <c r="BI102" s="62">
        <f ca="1">AVERAGE(OFFSET($BH$3,0,0,'Données projet'!$E$11+1,1))-AVERAGE(OFFSET($H$3,0,0,'Données projet'!$E$11+1,1))</f>
        <v>321.23599968992932</v>
      </c>
      <c r="BJ102" s="62">
        <f t="shared" si="92"/>
        <v>388.05195847800502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54.301421298307062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54.301421298307062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295.83974441964551</v>
      </c>
      <c r="T103" s="62">
        <f t="shared" si="88"/>
        <v>212.24900914818096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128.09834783234598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3.0758513428965708E-2</v>
      </c>
      <c r="AC103" s="24">
        <f t="shared" si="57"/>
        <v>128.12910634577494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-4.5474735088646412E-13</v>
      </c>
      <c r="AJ103" s="14">
        <f>AI103*VLOOKUP('Données projet'!$B$10,Paramètres!$A$1:$I$89,3,0)*VLOOKUP('Données projet'!$B$10,Paramètres!$A$1:$I$89,5,0)</f>
        <v>-2.5420376914553347E-13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512.21337090113502</v>
      </c>
      <c r="AO103" s="62">
        <f t="shared" si="90"/>
        <v>621.03633124474163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166.32997067147659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2.4693513898104851E-4</v>
      </c>
      <c r="AX103" s="23">
        <f t="shared" si="60"/>
        <v>166.33021760661558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1.9895196601282805E-13</v>
      </c>
      <c r="BE103" s="14">
        <f>BD103*VLOOKUP('Données projet'!$B$11,Paramètres!$A$1:$I$89,3,0)*VLOOKUP('Données projet'!$B$11,Paramètres!$A$1:$I$89,5,0)</f>
        <v>1.738044375088066E-13</v>
      </c>
      <c r="BF103" s="14">
        <f t="shared" si="91"/>
        <v>2.4483293633950478E-12</v>
      </c>
      <c r="BG103" s="22">
        <f t="shared" si="61"/>
        <v>4.566883036574213E-12</v>
      </c>
      <c r="BH103" s="62">
        <f t="shared" si="62"/>
        <v>293.33333333333786</v>
      </c>
      <c r="BI103" s="62">
        <f ca="1">AVERAGE(OFFSET($BH$3,0,0,'Données projet'!$E$11+1,1))-AVERAGE(OFFSET($H$3,0,0,'Données projet'!$E$11+1,1))</f>
        <v>321.23599968992932</v>
      </c>
      <c r="BJ103" s="62">
        <f t="shared" si="92"/>
        <v>388.05195847800502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53.236603547243867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53.236603547243867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295.83974441964551</v>
      </c>
      <c r="T104" s="62">
        <f t="shared" si="88"/>
        <v>212.24900914818096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125.58641736363093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2.1749553424839141E-2</v>
      </c>
      <c r="AC104" s="24">
        <f t="shared" si="57"/>
        <v>125.60816691705577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-4.5474735088646412E-13</v>
      </c>
      <c r="AJ104" s="14">
        <f>AI104*VLOOKUP('Données projet'!$B$10,Paramètres!$A$1:$I$89,3,0)*VLOOKUP('Données projet'!$B$10,Paramètres!$A$1:$I$89,5,0)</f>
        <v>-2.5420376914553347E-13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512.21337090113502</v>
      </c>
      <c r="AO104" s="62">
        <f t="shared" si="90"/>
        <v>621.03633124474163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163.06834139787355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1.7460951128674197E-4</v>
      </c>
      <c r="AX104" s="23">
        <f t="shared" si="60"/>
        <v>163.06851600738483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1.9895196601282805E-13</v>
      </c>
      <c r="BE104" s="14">
        <f>BD104*VLOOKUP('Données projet'!$B$11,Paramètres!$A$1:$I$89,3,0)*VLOOKUP('Données projet'!$B$11,Paramètres!$A$1:$I$89,5,0)</f>
        <v>1.738044375088066E-13</v>
      </c>
      <c r="BF104" s="14">
        <f t="shared" si="91"/>
        <v>2.4483293633950478E-12</v>
      </c>
      <c r="BG104" s="22">
        <f t="shared" si="61"/>
        <v>4.566883036574213E-12</v>
      </c>
      <c r="BH104" s="62">
        <f t="shared" si="62"/>
        <v>293.33333333333786</v>
      </c>
      <c r="BI104" s="62">
        <f ca="1">AVERAGE(OFFSET($BH$3,0,0,'Données projet'!$E$11+1,1))-AVERAGE(OFFSET($H$3,0,0,'Données projet'!$E$11+1,1))</f>
        <v>321.23599968992932</v>
      </c>
      <c r="BJ104" s="62">
        <f t="shared" si="92"/>
        <v>388.05195847800502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52.19266622280432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52.19266622280432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295.83974441964551</v>
      </c>
      <c r="T105" s="62">
        <f t="shared" si="88"/>
        <v>212.24900914818096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123.12374431928109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1.5379256714482857E-2</v>
      </c>
      <c r="AC105" s="24">
        <f t="shared" si="57"/>
        <v>123.13912357599557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-4.5474735088646412E-13</v>
      </c>
      <c r="AJ105" s="14">
        <f>AI105*VLOOKUP('Données projet'!$B$10,Paramètres!$A$1:$I$89,3,0)*VLOOKUP('Données projet'!$B$10,Paramètres!$A$1:$I$89,5,0)</f>
        <v>-2.5420376914553347E-13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512.21337090113502</v>
      </c>
      <c r="AO105" s="62">
        <f t="shared" si="90"/>
        <v>621.03633124474163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159.87067068492846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1.2346756949052425E-4</v>
      </c>
      <c r="AX105" s="23">
        <f t="shared" si="60"/>
        <v>159.87079415249795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1.9895196601282805E-13</v>
      </c>
      <c r="BE105" s="14">
        <f>BD105*VLOOKUP('Données projet'!$B$11,Paramètres!$A$1:$I$89,3,0)*VLOOKUP('Données projet'!$B$11,Paramètres!$A$1:$I$89,5,0)</f>
        <v>1.738044375088066E-13</v>
      </c>
      <c r="BF105" s="14">
        <f t="shared" si="91"/>
        <v>2.4483293633950478E-12</v>
      </c>
      <c r="BG105" s="22">
        <f t="shared" si="61"/>
        <v>4.566883036574213E-12</v>
      </c>
      <c r="BH105" s="62">
        <f t="shared" si="62"/>
        <v>293.33333333333786</v>
      </c>
      <c r="BI105" s="62">
        <f ca="1">AVERAGE(OFFSET($BH$3,0,0,'Données projet'!$E$11+1,1))-AVERAGE(OFFSET($H$3,0,0,'Données projet'!$E$11+1,1))</f>
        <v>321.23599968992932</v>
      </c>
      <c r="BJ105" s="62">
        <f t="shared" si="92"/>
        <v>388.05195847800502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51.169199872558139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51.169199872558139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295.83974441964551</v>
      </c>
      <c r="T106" s="62">
        <f t="shared" si="88"/>
        <v>212.24900914818096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120.70936279124871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1.0874776712419572E-2</v>
      </c>
      <c r="AC106" s="24">
        <f t="shared" si="57"/>
        <v>120.72023756796112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-4.5474735088646412E-13</v>
      </c>
      <c r="AJ106" s="14">
        <f>AI106*VLOOKUP('Données projet'!$B$10,Paramètres!$A$1:$I$89,3,0)*VLOOKUP('Données projet'!$B$10,Paramètres!$A$1:$I$89,5,0)</f>
        <v>-2.5420376914553347E-13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512.21337090113502</v>
      </c>
      <c r="AO106" s="62">
        <f t="shared" si="90"/>
        <v>621.03633124474163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156.73570434427768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8.7304755643370985E-5</v>
      </c>
      <c r="AX106" s="23">
        <f t="shared" si="60"/>
        <v>156.73579164903333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1.9895196601282805E-13</v>
      </c>
      <c r="BE106" s="14">
        <f>BD106*VLOOKUP('Données projet'!$B$11,Paramètres!$A$1:$I$89,3,0)*VLOOKUP('Données projet'!$B$11,Paramètres!$A$1:$I$89,5,0)</f>
        <v>1.738044375088066E-13</v>
      </c>
      <c r="BF106" s="14">
        <f t="shared" si="91"/>
        <v>2.4483293633950478E-12</v>
      </c>
      <c r="BG106" s="22">
        <f t="shared" si="61"/>
        <v>4.566883036574213E-12</v>
      </c>
      <c r="BH106" s="62">
        <f t="shared" si="62"/>
        <v>293.33333333333786</v>
      </c>
      <c r="BI106" s="62">
        <f ca="1">AVERAGE(OFFSET($BH$3,0,0,'Données projet'!$E$11+1,1))-AVERAGE(OFFSET($H$3,0,0,'Données projet'!$E$11+1,1))</f>
        <v>321.23599968992932</v>
      </c>
      <c r="BJ106" s="62">
        <f t="shared" si="92"/>
        <v>388.05195847800502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50.165803073187455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50.165803073187455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295.83974441964551</v>
      </c>
      <c r="T107" s="62">
        <f t="shared" si="88"/>
        <v>212.24900914818096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118.34232581235372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7.6896283572414296E-3</v>
      </c>
      <c r="AC107" s="24">
        <f t="shared" si="57"/>
        <v>118.35001544071096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-4.5474735088646412E-13</v>
      </c>
      <c r="AJ107" s="14">
        <f>AI107*VLOOKUP('Données projet'!$B$10,Paramètres!$A$1:$I$89,3,0)*VLOOKUP('Données projet'!$B$10,Paramètres!$A$1:$I$89,5,0)</f>
        <v>-2.5420376914553347E-13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512.21337090113502</v>
      </c>
      <c r="AO107" s="62">
        <f t="shared" si="90"/>
        <v>621.03633124474163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153.6622127814264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6.1733784745262126E-5</v>
      </c>
      <c r="AX107" s="23">
        <f t="shared" si="60"/>
        <v>153.66227451521115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1.9895196601282805E-13</v>
      </c>
      <c r="BE107" s="14">
        <f>BD107*VLOOKUP('Données projet'!$B$11,Paramètres!$A$1:$I$89,3,0)*VLOOKUP('Données projet'!$B$11,Paramètres!$A$1:$I$89,5,0)</f>
        <v>1.738044375088066E-13</v>
      </c>
      <c r="BF107" s="14">
        <f t="shared" si="91"/>
        <v>2.4483293633950478E-12</v>
      </c>
      <c r="BG107" s="22">
        <f t="shared" si="61"/>
        <v>4.566883036574213E-12</v>
      </c>
      <c r="BH107" s="62">
        <f t="shared" si="62"/>
        <v>293.33333333333786</v>
      </c>
      <c r="BI107" s="62">
        <f ca="1">AVERAGE(OFFSET($BH$3,0,0,'Données projet'!$E$11+1,1))-AVERAGE(OFFSET($H$3,0,0,'Données projet'!$E$11+1,1))</f>
        <v>321.23599968992932</v>
      </c>
      <c r="BJ107" s="62">
        <f t="shared" si="92"/>
        <v>388.05195847800502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49.182082273040812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49.182082273040812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295.83974441964551</v>
      </c>
      <c r="T108" s="62">
        <f t="shared" si="88"/>
        <v>212.24900914818096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116.02170498486485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5.437388356209787E-3</v>
      </c>
      <c r="AC108" s="24">
        <f t="shared" si="57"/>
        <v>116.02714237322107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-4.5474735088646412E-13</v>
      </c>
      <c r="AJ108" s="14">
        <f>AI108*VLOOKUP('Données projet'!$B$10,Paramètres!$A$1:$I$89,3,0)*VLOOKUP('Données projet'!$B$10,Paramètres!$A$1:$I$89,5,0)</f>
        <v>-2.5420376914553347E-13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512.21337090113502</v>
      </c>
      <c r="AO108" s="62">
        <f t="shared" si="90"/>
        <v>621.03633124474163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150.64899051347788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4.3652377821685493E-5</v>
      </c>
      <c r="AX108" s="23">
        <f t="shared" si="60"/>
        <v>150.64903416585571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1.9895196601282805E-13</v>
      </c>
      <c r="BE108" s="14">
        <f>BD108*VLOOKUP('Données projet'!$B$11,Paramètres!$A$1:$I$89,3,0)*VLOOKUP('Données projet'!$B$11,Paramètres!$A$1:$I$89,5,0)</f>
        <v>1.738044375088066E-13</v>
      </c>
      <c r="BF108" s="14">
        <f t="shared" si="91"/>
        <v>2.4483293633950478E-12</v>
      </c>
      <c r="BG108" s="22">
        <f t="shared" si="61"/>
        <v>4.566883036574213E-12</v>
      </c>
      <c r="BH108" s="62">
        <f t="shared" si="62"/>
        <v>293.33333333333786</v>
      </c>
      <c r="BI108" s="62">
        <f ca="1">AVERAGE(OFFSET($BH$3,0,0,'Données projet'!$E$11+1,1))-AVERAGE(OFFSET($H$3,0,0,'Données projet'!$E$11+1,1))</f>
        <v>321.23599968992932</v>
      </c>
      <c r="BJ108" s="62">
        <f t="shared" si="92"/>
        <v>388.05195847800502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48.217651637774601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48.217651637774601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295.83974441964551</v>
      </c>
      <c r="T109" s="62">
        <f t="shared" si="88"/>
        <v>212.24900914818096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113.7465901163641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3.8448141786207152E-3</v>
      </c>
      <c r="AC109" s="24">
        <f t="shared" si="57"/>
        <v>113.75043493054272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-4.5474735088646412E-13</v>
      </c>
      <c r="AJ109" s="14">
        <f>AI109*VLOOKUP('Données projet'!$B$10,Paramètres!$A$1:$I$89,3,0)*VLOOKUP('Données projet'!$B$10,Paramètres!$A$1:$I$89,5,0)</f>
        <v>-2.5420376914553347E-13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512.21337090113502</v>
      </c>
      <c r="AO109" s="62">
        <f t="shared" si="90"/>
        <v>621.03633124474163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147.69485569631973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3.0866892372631063E-5</v>
      </c>
      <c r="AX109" s="23">
        <f t="shared" si="60"/>
        <v>147.69488656321209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1.9895196601282805E-13</v>
      </c>
      <c r="BE109" s="14">
        <f>BD109*VLOOKUP('Données projet'!$B$11,Paramètres!$A$1:$I$89,3,0)*VLOOKUP('Données projet'!$B$11,Paramètres!$A$1:$I$89,5,0)</f>
        <v>1.738044375088066E-13</v>
      </c>
      <c r="BF109" s="14">
        <f t="shared" si="91"/>
        <v>2.4483293633950478E-12</v>
      </c>
      <c r="BG109" s="22">
        <f t="shared" si="61"/>
        <v>4.566883036574213E-12</v>
      </c>
      <c r="BH109" s="62">
        <f t="shared" si="62"/>
        <v>293.33333333333786</v>
      </c>
      <c r="BI109" s="62">
        <f ca="1">AVERAGE(OFFSET($BH$3,0,0,'Données projet'!$E$11+1,1))-AVERAGE(OFFSET($H$3,0,0,'Données projet'!$E$11+1,1))</f>
        <v>321.23599968992932</v>
      </c>
      <c r="BJ109" s="62">
        <f t="shared" si="92"/>
        <v>388.05195847800502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47.272132899021358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47.272132899021358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295.83974441964551</v>
      </c>
      <c r="T110" s="62">
        <f t="shared" si="88"/>
        <v>212.24900914818096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111.51608886275162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2.7186941781048939E-3</v>
      </c>
      <c r="AC110" s="24">
        <f t="shared" si="57"/>
        <v>111.51880755692972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-4.5474735088646412E-13</v>
      </c>
      <c r="AJ110" s="14">
        <f>AI110*VLOOKUP('Données projet'!$B$10,Paramètres!$A$1:$I$89,3,0)*VLOOKUP('Données projet'!$B$10,Paramètres!$A$1:$I$89,5,0)</f>
        <v>-2.5420376914553347E-13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512.21337090113502</v>
      </c>
      <c r="AO110" s="62">
        <f t="shared" si="90"/>
        <v>621.03633124474163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144.79864966108173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2.1826188910842746E-5</v>
      </c>
      <c r="AX110" s="23">
        <f t="shared" si="60"/>
        <v>144.79867148727064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1.9895196601282805E-13</v>
      </c>
      <c r="BE110" s="14">
        <f>BD110*VLOOKUP('Données projet'!$B$11,Paramètres!$A$1:$I$89,3,0)*VLOOKUP('Données projet'!$B$11,Paramètres!$A$1:$I$89,5,0)</f>
        <v>1.738044375088066E-13</v>
      </c>
      <c r="BF110" s="14">
        <f t="shared" si="91"/>
        <v>2.4483293633950478E-12</v>
      </c>
      <c r="BG110" s="22">
        <f t="shared" si="61"/>
        <v>4.566883036574213E-12</v>
      </c>
      <c r="BH110" s="62">
        <f t="shared" si="62"/>
        <v>293.33333333333786</v>
      </c>
      <c r="BI110" s="62">
        <f ca="1">AVERAGE(OFFSET($BH$3,0,0,'Données projet'!$E$11+1,1))-AVERAGE(OFFSET($H$3,0,0,'Données projet'!$E$11+1,1))</f>
        <v>321.23599968992932</v>
      </c>
      <c r="BJ110" s="62">
        <f t="shared" si="92"/>
        <v>388.05195847800502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46.345155206025581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46.345155206025581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295.83974441964551</v>
      </c>
      <c r="T111" s="62">
        <f t="shared" si="88"/>
        <v>212.24900914818096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109.32932637825104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1.922407089310358E-3</v>
      </c>
      <c r="AC111" s="24">
        <f t="shared" si="57"/>
        <v>109.33124878534035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-4.5474735088646412E-13</v>
      </c>
      <c r="AJ111" s="14">
        <f>AI111*VLOOKUP('Données projet'!$B$10,Paramètres!$A$1:$I$89,3,0)*VLOOKUP('Données projet'!$B$10,Paramètres!$A$1:$I$89,5,0)</f>
        <v>-2.5420376914553347E-13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512.21337090113502</v>
      </c>
      <c r="AO111" s="62">
        <f t="shared" si="90"/>
        <v>621.03633124474163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141.9592364596835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1.5433446186315532E-5</v>
      </c>
      <c r="AX111" s="23">
        <f t="shared" si="60"/>
        <v>141.95925189312968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1.9895196601282805E-13</v>
      </c>
      <c r="BE111" s="14">
        <f>BD111*VLOOKUP('Données projet'!$B$11,Paramètres!$A$1:$I$89,3,0)*VLOOKUP('Données projet'!$B$11,Paramètres!$A$1:$I$89,5,0)</f>
        <v>1.738044375088066E-13</v>
      </c>
      <c r="BF111" s="14">
        <f t="shared" si="91"/>
        <v>2.4483293633950478E-12</v>
      </c>
      <c r="BG111" s="22">
        <f t="shared" si="61"/>
        <v>4.566883036574213E-12</v>
      </c>
      <c r="BH111" s="62">
        <f t="shared" si="62"/>
        <v>293.33333333333786</v>
      </c>
      <c r="BI111" s="62">
        <f ca="1">AVERAGE(OFFSET($BH$3,0,0,'Données projet'!$E$11+1,1))-AVERAGE(OFFSET($H$3,0,0,'Données projet'!$E$11+1,1))</f>
        <v>321.23599968992932</v>
      </c>
      <c r="BJ111" s="62">
        <f t="shared" si="92"/>
        <v>388.05195847800502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45.436354980188888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45.436354980188888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295.83974441964551</v>
      </c>
      <c r="T112" s="62">
        <f t="shared" si="88"/>
        <v>212.24900914818096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107.18544497227811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1.3593470890524472E-3</v>
      </c>
      <c r="AC112" s="24">
        <f t="shared" si="57"/>
        <v>107.18680431936716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-4.5474735088646412E-13</v>
      </c>
      <c r="AJ112" s="14">
        <f>AI112*VLOOKUP('Données projet'!$B$10,Paramètres!$A$1:$I$89,3,0)*VLOOKUP('Données projet'!$B$10,Paramètres!$A$1:$I$89,5,0)</f>
        <v>-2.5420376914553347E-13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512.21337090113502</v>
      </c>
      <c r="AO112" s="62">
        <f t="shared" si="90"/>
        <v>621.03633124474163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139.17550241929362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1.0913094455421373E-5</v>
      </c>
      <c r="AX112" s="23">
        <f t="shared" si="60"/>
        <v>139.17551333238808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1.9895196601282805E-13</v>
      </c>
      <c r="BE112" s="14">
        <f>BD112*VLOOKUP('Données projet'!$B$11,Paramètres!$A$1:$I$89,3,0)*VLOOKUP('Données projet'!$B$11,Paramètres!$A$1:$I$89,5,0)</f>
        <v>1.738044375088066E-13</v>
      </c>
      <c r="BF112" s="14">
        <f t="shared" si="91"/>
        <v>2.4483293633950478E-12</v>
      </c>
      <c r="BG112" s="22">
        <f t="shared" si="61"/>
        <v>4.566883036574213E-12</v>
      </c>
      <c r="BH112" s="62">
        <f t="shared" si="62"/>
        <v>293.33333333333786</v>
      </c>
      <c r="BI112" s="62">
        <f ca="1">AVERAGE(OFFSET($BH$3,0,0,'Données projet'!$E$11+1,1))-AVERAGE(OFFSET($H$3,0,0,'Données projet'!$E$11+1,1))</f>
        <v>321.23599968992932</v>
      </c>
      <c r="BJ112" s="62">
        <f t="shared" si="92"/>
        <v>388.05195847800502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44.545375772467445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44.545375772467445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295.83974441964551</v>
      </c>
      <c r="T113" s="62">
        <f t="shared" si="88"/>
        <v>212.24900914818096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105.08360377303775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9.6120354465517913E-4</v>
      </c>
      <c r="AC113" s="24">
        <f t="shared" si="57"/>
        <v>105.08456497658241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-4.5474735088646412E-13</v>
      </c>
      <c r="AJ113" s="14">
        <f>AI113*VLOOKUP('Données projet'!$B$10,Paramètres!$A$1:$I$89,3,0)*VLOOKUP('Données projet'!$B$10,Paramètres!$A$1:$I$89,5,0)</f>
        <v>-2.5420376914553347E-13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512.21337090113502</v>
      </c>
      <c r="AO113" s="62">
        <f t="shared" si="90"/>
        <v>621.03633124474163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136.44635570552569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7.7167230931577658E-6</v>
      </c>
      <c r="AX113" s="23">
        <f t="shared" si="60"/>
        <v>136.44636342224879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1.9895196601282805E-13</v>
      </c>
      <c r="BE113" s="14">
        <f>BD113*VLOOKUP('Données projet'!$B$11,Paramètres!$A$1:$I$89,3,0)*VLOOKUP('Données projet'!$B$11,Paramètres!$A$1:$I$89,5,0)</f>
        <v>1.738044375088066E-13</v>
      </c>
      <c r="BF113" s="14">
        <f t="shared" si="91"/>
        <v>2.4483293633950478E-12</v>
      </c>
      <c r="BG113" s="22">
        <f t="shared" si="61"/>
        <v>4.566883036574213E-12</v>
      </c>
      <c r="BH113" s="62">
        <f t="shared" si="62"/>
        <v>293.33333333333786</v>
      </c>
      <c r="BI113" s="62">
        <f ca="1">AVERAGE(OFFSET($BH$3,0,0,'Données projet'!$E$11+1,1))-AVERAGE(OFFSET($H$3,0,0,'Données projet'!$E$11+1,1))</f>
        <v>321.23599968992932</v>
      </c>
      <c r="BJ113" s="62">
        <f t="shared" si="92"/>
        <v>388.05195847800502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43.671868123565766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43.671868123565766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295.83974441964551</v>
      </c>
      <c r="T114" s="62">
        <f t="shared" si="88"/>
        <v>212.24900914818096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103.02297839771796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6.7967354452622369E-4</v>
      </c>
      <c r="AC114" s="24">
        <f t="shared" si="57"/>
        <v>103.02365807126249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-4.5474735088646412E-13</v>
      </c>
      <c r="AJ114" s="14">
        <f>AI114*VLOOKUP('Données projet'!$B$10,Paramètres!$A$1:$I$89,3,0)*VLOOKUP('Données projet'!$B$10,Paramètres!$A$1:$I$89,5,0)</f>
        <v>-2.5420376914553347E-13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512.21337090113502</v>
      </c>
      <c r="AO114" s="62">
        <f t="shared" si="90"/>
        <v>621.03633124474163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133.77072589419961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5.4565472277106866E-6</v>
      </c>
      <c r="AX114" s="23">
        <f t="shared" si="60"/>
        <v>133.77073135074684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1.9895196601282805E-13</v>
      </c>
      <c r="BE114" s="14">
        <f>BD114*VLOOKUP('Données projet'!$B$11,Paramètres!$A$1:$I$89,3,0)*VLOOKUP('Données projet'!$B$11,Paramètres!$A$1:$I$89,5,0)</f>
        <v>1.738044375088066E-13</v>
      </c>
      <c r="BF114" s="14">
        <f t="shared" si="91"/>
        <v>2.4483293633950478E-12</v>
      </c>
      <c r="BG114" s="22">
        <f t="shared" si="61"/>
        <v>4.566883036574213E-12</v>
      </c>
      <c r="BH114" s="62">
        <f t="shared" si="62"/>
        <v>293.33333333333786</v>
      </c>
      <c r="BI114" s="62">
        <f ca="1">AVERAGE(OFFSET($BH$3,0,0,'Données projet'!$E$11+1,1))-AVERAGE(OFFSET($H$3,0,0,'Données projet'!$E$11+1,1))</f>
        <v>321.23599968992932</v>
      </c>
      <c r="BJ114" s="62">
        <f t="shared" si="92"/>
        <v>388.05195847800502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42.815489426871991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42.815489426871991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295.83974441964551</v>
      </c>
      <c r="T115" s="62">
        <f t="shared" si="88"/>
        <v>212.24900914818096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101.00276062915081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4.8060177232758967E-4</v>
      </c>
      <c r="AC115" s="24">
        <f t="shared" si="57"/>
        <v>101.00324123092314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-4.5474735088646412E-13</v>
      </c>
      <c r="AJ115" s="14">
        <f>AI115*VLOOKUP('Données projet'!$B$10,Paramètres!$A$1:$I$89,3,0)*VLOOKUP('Données projet'!$B$10,Paramètres!$A$1:$I$89,5,0)</f>
        <v>-2.5420376914553347E-13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512.21337090113502</v>
      </c>
      <c r="AO115" s="62">
        <f t="shared" si="90"/>
        <v>621.03633124474163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131.14756355150061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3.8583615465788829E-6</v>
      </c>
      <c r="AX115" s="23">
        <f t="shared" si="60"/>
        <v>131.14756740986215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1.9895196601282805E-13</v>
      </c>
      <c r="BE115" s="14">
        <f>BD115*VLOOKUP('Données projet'!$B$11,Paramètres!$A$1:$I$89,3,0)*VLOOKUP('Données projet'!$B$11,Paramètres!$A$1:$I$89,5,0)</f>
        <v>1.738044375088066E-13</v>
      </c>
      <c r="BF115" s="14">
        <f t="shared" si="91"/>
        <v>2.4483293633950478E-12</v>
      </c>
      <c r="BG115" s="22">
        <f t="shared" si="61"/>
        <v>4.566883036574213E-12</v>
      </c>
      <c r="BH115" s="62">
        <f t="shared" si="62"/>
        <v>293.33333333333786</v>
      </c>
      <c r="BI115" s="62">
        <f ca="1">AVERAGE(OFFSET($BH$3,0,0,'Données projet'!$E$11+1,1))-AVERAGE(OFFSET($H$3,0,0,'Données projet'!$E$11+1,1))</f>
        <v>321.23599968992932</v>
      </c>
      <c r="BJ115" s="62">
        <f t="shared" si="92"/>
        <v>388.05195847800502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41.975903794080956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41.975903794080956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295.83974441964551</v>
      </c>
      <c r="T116" s="62">
        <f t="shared" si="88"/>
        <v>212.24900914818096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99.022158098814103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3.398367722631119E-4</v>
      </c>
      <c r="AC116" s="24">
        <f t="shared" si="57"/>
        <v>99.022497935586372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-4.5474735088646412E-13</v>
      </c>
      <c r="AJ116" s="14">
        <f>AI116*VLOOKUP('Données projet'!$B$10,Paramètres!$A$1:$I$89,3,0)*VLOOKUP('Données projet'!$B$10,Paramètres!$A$1:$I$89,5,0)</f>
        <v>-2.5420376914553347E-13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512.21337090113502</v>
      </c>
      <c r="AO116" s="62">
        <f t="shared" si="90"/>
        <v>621.03633124474163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128.57583982237088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2.7282736138553433E-6</v>
      </c>
      <c r="AX116" s="23">
        <f t="shared" si="60"/>
        <v>128.5758425506445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1.9895196601282805E-13</v>
      </c>
      <c r="BE116" s="14">
        <f>BD116*VLOOKUP('Données projet'!$B$11,Paramètres!$A$1:$I$89,3,0)*VLOOKUP('Données projet'!$B$11,Paramètres!$A$1:$I$89,5,0)</f>
        <v>1.738044375088066E-13</v>
      </c>
      <c r="BF116" s="14">
        <f t="shared" si="91"/>
        <v>2.4483293633950478E-12</v>
      </c>
      <c r="BG116" s="22">
        <f t="shared" si="61"/>
        <v>4.566883036574213E-12</v>
      </c>
      <c r="BH116" s="62">
        <f t="shared" si="62"/>
        <v>293.33333333333786</v>
      </c>
      <c r="BI116" s="62">
        <f ca="1">AVERAGE(OFFSET($BH$3,0,0,'Données projet'!$E$11+1,1))-AVERAGE(OFFSET($H$3,0,0,'Données projet'!$E$11+1,1))</f>
        <v>321.23599968992932</v>
      </c>
      <c r="BJ116" s="62">
        <f t="shared" si="92"/>
        <v>388.05195847800502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41.152781923452281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41.152781923452281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295.83974441964551</v>
      </c>
      <c r="T117" s="62">
        <f t="shared" si="88"/>
        <v>212.24900914818096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97.080393976049038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2.4030088616379486E-4</v>
      </c>
      <c r="AC117" s="24">
        <f t="shared" si="57"/>
        <v>97.0806342769352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-4.5474735088646412E-13</v>
      </c>
      <c r="AJ117" s="14">
        <f>AI117*VLOOKUP('Données projet'!$B$10,Paramètres!$A$1:$I$89,3,0)*VLOOKUP('Données projet'!$B$10,Paramètres!$A$1:$I$89,5,0)</f>
        <v>-2.5420376914553347E-13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512.21337090113502</v>
      </c>
      <c r="AO117" s="62">
        <f t="shared" si="90"/>
        <v>621.03633124474163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126.0545460269728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1.9291807732894414E-6</v>
      </c>
      <c r="AX117" s="23">
        <f t="shared" si="60"/>
        <v>126.05454795615357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1.9895196601282805E-13</v>
      </c>
      <c r="BE117" s="14">
        <f>BD117*VLOOKUP('Données projet'!$B$11,Paramètres!$A$1:$I$89,3,0)*VLOOKUP('Données projet'!$B$11,Paramètres!$A$1:$I$89,5,0)</f>
        <v>1.738044375088066E-13</v>
      </c>
      <c r="BF117" s="14">
        <f t="shared" si="91"/>
        <v>2.4483293633950478E-12</v>
      </c>
      <c r="BG117" s="22">
        <f t="shared" si="61"/>
        <v>4.566883036574213E-12</v>
      </c>
      <c r="BH117" s="62">
        <f t="shared" si="62"/>
        <v>293.33333333333786</v>
      </c>
      <c r="BI117" s="62">
        <f ca="1">AVERAGE(OFFSET($BH$3,0,0,'Données projet'!$E$11+1,1))-AVERAGE(OFFSET($H$3,0,0,'Données projet'!$E$11+1,1))</f>
        <v>321.23599968992932</v>
      </c>
      <c r="BJ117" s="62">
        <f t="shared" si="92"/>
        <v>388.05195847800502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40.345800970651865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40.345800970651865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295.83974441964551</v>
      </c>
      <c r="T118" s="62">
        <f t="shared" si="88"/>
        <v>212.24900914818096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95.176706663372229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1.6991838613155598E-4</v>
      </c>
      <c r="AC118" s="24">
        <f t="shared" si="57"/>
        <v>95.176876581758364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-4.5474735088646412E-13</v>
      </c>
      <c r="AJ118" s="14">
        <f>AI118*VLOOKUP('Données projet'!$B$10,Paramètres!$A$1:$I$89,3,0)*VLOOKUP('Données projet'!$B$10,Paramètres!$A$1:$I$89,5,0)</f>
        <v>-2.5420376914553347E-13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512.21337090113502</v>
      </c>
      <c r="AO118" s="62">
        <f t="shared" si="90"/>
        <v>621.03633124474163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123.58269326506512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1.3641368069276716E-6</v>
      </c>
      <c r="AX118" s="23">
        <f t="shared" si="60"/>
        <v>123.58269462920192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1.9895196601282805E-13</v>
      </c>
      <c r="BE118" s="14">
        <f>BD118*VLOOKUP('Données projet'!$B$11,Paramètres!$A$1:$I$89,3,0)*VLOOKUP('Données projet'!$B$11,Paramètres!$A$1:$I$89,5,0)</f>
        <v>1.738044375088066E-13</v>
      </c>
      <c r="BF118" s="14">
        <f t="shared" si="91"/>
        <v>2.4483293633950478E-12</v>
      </c>
      <c r="BG118" s="22">
        <f t="shared" si="61"/>
        <v>4.566883036574213E-12</v>
      </c>
      <c r="BH118" s="62">
        <f t="shared" si="62"/>
        <v>293.33333333333786</v>
      </c>
      <c r="BI118" s="62">
        <f ca="1">AVERAGE(OFFSET($BH$3,0,0,'Données projet'!$E$11+1,1))-AVERAGE(OFFSET($H$3,0,0,'Données projet'!$E$11+1,1))</f>
        <v>321.23599968992932</v>
      </c>
      <c r="BJ118" s="62">
        <f t="shared" si="92"/>
        <v>388.05195847800502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39.554644422126088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39.554644422126088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295.83974441964551</v>
      </c>
      <c r="T119" s="62">
        <f t="shared" si="88"/>
        <v>212.24900914818096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93.310349497762402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1.2015044308189746E-4</v>
      </c>
      <c r="AC119" s="24">
        <f t="shared" si="57"/>
        <v>93.310469648205483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-4.5474735088646412E-13</v>
      </c>
      <c r="AJ119" s="14">
        <f>AI119*VLOOKUP('Données projet'!$B$10,Paramètres!$A$1:$I$89,3,0)*VLOOKUP('Données projet'!$B$10,Paramètres!$A$1:$I$89,5,0)</f>
        <v>-2.5420376914553347E-13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512.21337090113502</v>
      </c>
      <c r="AO119" s="62">
        <f t="shared" si="90"/>
        <v>621.03633124474163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121.15931202813712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9.6459038664472072E-7</v>
      </c>
      <c r="AX119" s="23">
        <f t="shared" si="60"/>
        <v>121.15931299272751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1.9895196601282805E-13</v>
      </c>
      <c r="BE119" s="14">
        <f>BD119*VLOOKUP('Données projet'!$B$11,Paramètres!$A$1:$I$89,3,0)*VLOOKUP('Données projet'!$B$11,Paramètres!$A$1:$I$89,5,0)</f>
        <v>1.738044375088066E-13</v>
      </c>
      <c r="BF119" s="14">
        <f t="shared" si="91"/>
        <v>2.4483293633950478E-12</v>
      </c>
      <c r="BG119" s="22">
        <f t="shared" si="61"/>
        <v>4.566883036574213E-12</v>
      </c>
      <c r="BH119" s="62">
        <f t="shared" si="62"/>
        <v>293.33333333333786</v>
      </c>
      <c r="BI119" s="62">
        <f ca="1">AVERAGE(OFFSET($BH$3,0,0,'Données projet'!$E$11+1,1))-AVERAGE(OFFSET($H$3,0,0,'Données projet'!$E$11+1,1))</f>
        <v>321.23599968992932</v>
      </c>
      <c r="BJ119" s="62">
        <f t="shared" si="92"/>
        <v>388.05195847800502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38.779001970959051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38.779001970959051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295.83974441964551</v>
      </c>
      <c r="T120" s="62">
        <f t="shared" si="88"/>
        <v>212.24900914818096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91.480590457804709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8.4959193065778003E-5</v>
      </c>
      <c r="AC120" s="24">
        <f t="shared" si="57"/>
        <v>91.480675416997769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-4.5474735088646412E-13</v>
      </c>
      <c r="AJ120" s="14">
        <f>AI120*VLOOKUP('Données projet'!$B$10,Paramètres!$A$1:$I$89,3,0)*VLOOKUP('Données projet'!$B$10,Paramètres!$A$1:$I$89,5,0)</f>
        <v>-2.5420376914553347E-13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512.21337090113502</v>
      </c>
      <c r="AO120" s="62">
        <f t="shared" si="90"/>
        <v>621.03633124474163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118.78345181914868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6.8206840346383582E-7</v>
      </c>
      <c r="AX120" s="23">
        <f t="shared" si="60"/>
        <v>118.78345250121708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1.9895196601282805E-13</v>
      </c>
      <c r="BE120" s="14">
        <f>BD120*VLOOKUP('Données projet'!$B$11,Paramètres!$A$1:$I$89,3,0)*VLOOKUP('Données projet'!$B$11,Paramètres!$A$1:$I$89,5,0)</f>
        <v>1.738044375088066E-13</v>
      </c>
      <c r="BF120" s="14">
        <f t="shared" si="91"/>
        <v>2.4483293633950478E-12</v>
      </c>
      <c r="BG120" s="22">
        <f t="shared" si="61"/>
        <v>4.566883036574213E-12</v>
      </c>
      <c r="BH120" s="62">
        <f t="shared" si="62"/>
        <v>293.33333333333786</v>
      </c>
      <c r="BI120" s="62">
        <f ca="1">AVERAGE(OFFSET($BH$3,0,0,'Données projet'!$E$11+1,1))-AVERAGE(OFFSET($H$3,0,0,'Données projet'!$E$11+1,1))</f>
        <v>321.23599968992932</v>
      </c>
      <c r="BJ120" s="62">
        <f t="shared" si="92"/>
        <v>388.05195847800502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38.018569395164221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38.018569395164221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295.83974441964551</v>
      </c>
      <c r="T121" s="62">
        <f t="shared" si="88"/>
        <v>212.24900914818096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89.686711876577775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6.0075221540948736E-5</v>
      </c>
      <c r="AC121" s="24">
        <f t="shared" si="57"/>
        <v>89.686771951799315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-4.5474735088646412E-13</v>
      </c>
      <c r="AJ121" s="14">
        <f>AI121*VLOOKUP('Données projet'!$B$10,Paramètres!$A$1:$I$89,3,0)*VLOOKUP('Données projet'!$B$10,Paramètres!$A$1:$I$89,5,0)</f>
        <v>-2.5420376914553347E-13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512.21337090113502</v>
      </c>
      <c r="AO121" s="62">
        <f t="shared" si="90"/>
        <v>621.03633124474163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116.45418077972687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4.8229519332236036E-7</v>
      </c>
      <c r="AX121" s="23">
        <f t="shared" si="60"/>
        <v>116.45418126202206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1.9895196601282805E-13</v>
      </c>
      <c r="BE121" s="14">
        <f>BD121*VLOOKUP('Données projet'!$B$11,Paramètres!$A$1:$I$89,3,0)*VLOOKUP('Données projet'!$B$11,Paramètres!$A$1:$I$89,5,0)</f>
        <v>1.738044375088066E-13</v>
      </c>
      <c r="BF121" s="14">
        <f t="shared" si="91"/>
        <v>2.4483293633950478E-12</v>
      </c>
      <c r="BG121" s="22">
        <f t="shared" si="61"/>
        <v>4.566883036574213E-12</v>
      </c>
      <c r="BH121" s="62">
        <f t="shared" si="62"/>
        <v>293.33333333333786</v>
      </c>
      <c r="BI121" s="62">
        <f ca="1">AVERAGE(OFFSET($BH$3,0,0,'Données projet'!$E$11+1,1))-AVERAGE(OFFSET($H$3,0,0,'Données projet'!$E$11+1,1))</f>
        <v>321.23599968992932</v>
      </c>
      <c r="BJ121" s="62">
        <f t="shared" si="92"/>
        <v>388.05195847800502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37.273048438362657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37.273048438362657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295.83974441964551</v>
      </c>
      <c r="T122" s="62">
        <f t="shared" si="88"/>
        <v>212.24900914818096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87.928010160170814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4.2479596532889008E-5</v>
      </c>
      <c r="AC122" s="24">
        <f t="shared" si="57"/>
        <v>87.928052639767344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-4.5474735088646412E-13</v>
      </c>
      <c r="AJ122" s="14">
        <f>AI122*VLOOKUP('Données projet'!$B$10,Paramètres!$A$1:$I$89,3,0)*VLOOKUP('Données projet'!$B$10,Paramètres!$A$1:$I$89,5,0)</f>
        <v>-2.5420376914553347E-13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512.21337090113502</v>
      </c>
      <c r="AO122" s="62">
        <f t="shared" si="90"/>
        <v>621.03633124474163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114.17058532467307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3.4103420173191791E-7</v>
      </c>
      <c r="AX122" s="23">
        <f t="shared" si="60"/>
        <v>114.17058566570726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1.9895196601282805E-13</v>
      </c>
      <c r="BE122" s="14">
        <f>BD122*VLOOKUP('Données projet'!$B$11,Paramètres!$A$1:$I$89,3,0)*VLOOKUP('Données projet'!$B$11,Paramètres!$A$1:$I$89,5,0)</f>
        <v>1.738044375088066E-13</v>
      </c>
      <c r="BF122" s="14">
        <f t="shared" si="91"/>
        <v>2.4483293633950478E-12</v>
      </c>
      <c r="BG122" s="22">
        <f t="shared" si="61"/>
        <v>4.566883036574213E-12</v>
      </c>
      <c r="BH122" s="62">
        <f t="shared" si="62"/>
        <v>293.33333333333786</v>
      </c>
      <c r="BI122" s="62">
        <f ca="1">AVERAGE(OFFSET($BH$3,0,0,'Données projet'!$E$11+1,1))-AVERAGE(OFFSET($H$3,0,0,'Données projet'!$E$11+1,1))</f>
        <v>321.23599968992932</v>
      </c>
      <c r="BJ122" s="62">
        <f t="shared" si="92"/>
        <v>388.05195847800502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36.542146692801083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36.542146692801083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295.83974441964551</v>
      </c>
      <c r="T123" s="62">
        <f t="shared" si="88"/>
        <v>212.24900914818096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86.203795511720458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3.0037610770474372E-5</v>
      </c>
      <c r="AC123" s="24">
        <f t="shared" si="57"/>
        <v>86.203825549331228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-4.5474735088646412E-13</v>
      </c>
      <c r="AJ123" s="14">
        <f>AI123*VLOOKUP('Données projet'!$B$10,Paramètres!$A$1:$I$89,3,0)*VLOOKUP('Données projet'!$B$10,Paramètres!$A$1:$I$89,5,0)</f>
        <v>-2.5420376914553347E-13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512.21337090113502</v>
      </c>
      <c r="AO123" s="62">
        <f t="shared" si="90"/>
        <v>621.03633124474163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111.93176978363718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2.4114759666118018E-7</v>
      </c>
      <c r="AX123" s="23">
        <f t="shared" si="60"/>
        <v>111.93177002478478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1.9895196601282805E-13</v>
      </c>
      <c r="BE123" s="14">
        <f>BD123*VLOOKUP('Données projet'!$B$11,Paramètres!$A$1:$I$89,3,0)*VLOOKUP('Données projet'!$B$11,Paramètres!$A$1:$I$89,5,0)</f>
        <v>1.738044375088066E-13</v>
      </c>
      <c r="BF123" s="14">
        <f t="shared" si="91"/>
        <v>2.4483293633950478E-12</v>
      </c>
      <c r="BG123" s="22">
        <f t="shared" si="61"/>
        <v>4.566883036574213E-12</v>
      </c>
      <c r="BH123" s="62">
        <f t="shared" si="62"/>
        <v>293.33333333333786</v>
      </c>
      <c r="BI123" s="62">
        <f ca="1">AVERAGE(OFFSET($BH$3,0,0,'Données projet'!$E$11+1,1))-AVERAGE(OFFSET($H$3,0,0,'Données projet'!$E$11+1,1))</f>
        <v>321.23599968992932</v>
      </c>
      <c r="BJ123" s="62">
        <f t="shared" si="92"/>
        <v>388.05195847800502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35.825577484663931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35.825577484663931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295.83974441964551</v>
      </c>
      <c r="T124" s="62">
        <f t="shared" si="88"/>
        <v>212.24900914818096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84.513391660859128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2.1239798266444507E-5</v>
      </c>
      <c r="AC124" s="24">
        <f t="shared" si="57"/>
        <v>84.5134129006574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-4.5474735088646412E-13</v>
      </c>
      <c r="AJ124" s="14">
        <f>AI124*VLOOKUP('Données projet'!$B$10,Paramètres!$A$1:$I$89,3,0)*VLOOKUP('Données projet'!$B$10,Paramètres!$A$1:$I$89,5,0)</f>
        <v>-2.5420376914553347E-13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512.21337090113502</v>
      </c>
      <c r="AO124" s="62">
        <f t="shared" si="90"/>
        <v>621.03633124474163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109.73685604981836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1.7051710086595896E-7</v>
      </c>
      <c r="AX124" s="23">
        <f t="shared" si="60"/>
        <v>109.73685622033545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1.9895196601282805E-13</v>
      </c>
      <c r="BE124" s="14">
        <f>BD124*VLOOKUP('Données projet'!$B$11,Paramètres!$A$1:$I$89,3,0)*VLOOKUP('Données projet'!$B$11,Paramètres!$A$1:$I$89,5,0)</f>
        <v>1.738044375088066E-13</v>
      </c>
      <c r="BF124" s="14">
        <f t="shared" si="91"/>
        <v>2.4483293633950478E-12</v>
      </c>
      <c r="BG124" s="22">
        <f t="shared" si="61"/>
        <v>4.566883036574213E-12</v>
      </c>
      <c r="BH124" s="62">
        <f t="shared" si="62"/>
        <v>293.33333333333786</v>
      </c>
      <c r="BI124" s="62">
        <f ca="1">AVERAGE(OFFSET($BH$3,0,0,'Données projet'!$E$11+1,1))-AVERAGE(OFFSET($H$3,0,0,'Données projet'!$E$11+1,1))</f>
        <v>321.23599968992932</v>
      </c>
      <c r="BJ124" s="62">
        <f t="shared" si="92"/>
        <v>388.05195847800502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35.123059761634288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35.123059761634288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295.83974441964551</v>
      </c>
      <c r="T125" s="62">
        <f t="shared" si="88"/>
        <v>212.24900914818096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82.85613559846864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1.5018805385237189E-5</v>
      </c>
      <c r="AC125" s="24">
        <f t="shared" si="57"/>
        <v>82.856150617274025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-4.5474735088646412E-13</v>
      </c>
      <c r="AJ125" s="14">
        <f>AI125*VLOOKUP('Données projet'!$B$10,Paramètres!$A$1:$I$89,3,0)*VLOOKUP('Données projet'!$B$10,Paramètres!$A$1:$I$89,5,0)</f>
        <v>-2.5420376914553347E-13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512.21337090113502</v>
      </c>
      <c r="AO125" s="62">
        <f t="shared" si="90"/>
        <v>621.03633124474163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107.58498323555453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1.2057379833059009E-7</v>
      </c>
      <c r="AX125" s="23">
        <f t="shared" si="60"/>
        <v>107.58498335612833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1.9895196601282805E-13</v>
      </c>
      <c r="BE125" s="14">
        <f>BD125*VLOOKUP('Données projet'!$B$11,Paramètres!$A$1:$I$89,3,0)*VLOOKUP('Données projet'!$B$11,Paramètres!$A$1:$I$89,5,0)</f>
        <v>1.738044375088066E-13</v>
      </c>
      <c r="BF125" s="14">
        <f t="shared" si="91"/>
        <v>2.4483293633950478E-12</v>
      </c>
      <c r="BG125" s="22">
        <f t="shared" si="61"/>
        <v>4.566883036574213E-12</v>
      </c>
      <c r="BH125" s="62">
        <f t="shared" si="62"/>
        <v>293.33333333333786</v>
      </c>
      <c r="BI125" s="62">
        <f ca="1">AVERAGE(OFFSET($BH$3,0,0,'Données projet'!$E$11+1,1))-AVERAGE(OFFSET($H$3,0,0,'Données projet'!$E$11+1,1))</f>
        <v>321.23599968992932</v>
      </c>
      <c r="BJ125" s="62">
        <f t="shared" si="92"/>
        <v>388.05195847800502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34.434317982659756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34.434317982659756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295.83974441964551</v>
      </c>
      <c r="T126" s="62">
        <f t="shared" si="88"/>
        <v>212.24900914818096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81.231377316635246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1.0619899133222255E-5</v>
      </c>
      <c r="AC126" s="24">
        <f t="shared" si="57"/>
        <v>81.231387936534375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-4.5474735088646412E-13</v>
      </c>
      <c r="AJ126" s="14">
        <f>AI126*VLOOKUP('Données projet'!$B$10,Paramètres!$A$1:$I$89,3,0)*VLOOKUP('Données projet'!$B$10,Paramètres!$A$1:$I$89,5,0)</f>
        <v>-2.5420376914553347E-13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512.21337090113502</v>
      </c>
      <c r="AO126" s="62">
        <f t="shared" si="90"/>
        <v>621.03633124474163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105.47530733466562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8.5258550432979478E-8</v>
      </c>
      <c r="AX126" s="23">
        <f t="shared" si="60"/>
        <v>105.47530741992416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1.9895196601282805E-13</v>
      </c>
      <c r="BE126" s="14">
        <f>BD126*VLOOKUP('Données projet'!$B$11,Paramètres!$A$1:$I$89,3,0)*VLOOKUP('Données projet'!$B$11,Paramètres!$A$1:$I$89,5,0)</f>
        <v>1.738044375088066E-13</v>
      </c>
      <c r="BF126" s="14">
        <f t="shared" si="91"/>
        <v>2.4483293633950478E-12</v>
      </c>
      <c r="BG126" s="22">
        <f t="shared" si="61"/>
        <v>4.566883036574213E-12</v>
      </c>
      <c r="BH126" s="62">
        <f t="shared" si="62"/>
        <v>293.33333333333786</v>
      </c>
      <c r="BI126" s="62">
        <f ca="1">AVERAGE(OFFSET($BH$3,0,0,'Données projet'!$E$11+1,1))-AVERAGE(OFFSET($H$3,0,0,'Données projet'!$E$11+1,1))</f>
        <v>321.23599968992932</v>
      </c>
      <c r="BJ126" s="62">
        <f t="shared" si="92"/>
        <v>388.05195847800502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33.759082009879904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33.759082009879904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295.83974441964551</v>
      </c>
      <c r="T127" s="62">
        <f t="shared" si="88"/>
        <v>212.24900914818096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79.638479553703903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7.5094026926185954E-6</v>
      </c>
      <c r="AC127" s="24">
        <f t="shared" si="57"/>
        <v>79.638487063106595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-4.5474735088646412E-13</v>
      </c>
      <c r="AJ127" s="14">
        <f>AI127*VLOOKUP('Données projet'!$B$10,Paramètres!$A$1:$I$89,3,0)*VLOOKUP('Données projet'!$B$10,Paramètres!$A$1:$I$89,5,0)</f>
        <v>-2.5420376914553347E-13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512.21337090113502</v>
      </c>
      <c r="AO127" s="62">
        <f t="shared" si="90"/>
        <v>621.03633124474163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103.40700089141788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6.0286899165295045E-8</v>
      </c>
      <c r="AX127" s="23">
        <f t="shared" si="60"/>
        <v>103.40700095170477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1.9895196601282805E-13</v>
      </c>
      <c r="BE127" s="14">
        <f>BD127*VLOOKUP('Données projet'!$B$11,Paramètres!$A$1:$I$89,3,0)*VLOOKUP('Données projet'!$B$11,Paramètres!$A$1:$I$89,5,0)</f>
        <v>1.738044375088066E-13</v>
      </c>
      <c r="BF127" s="14">
        <f t="shared" si="91"/>
        <v>2.4483293633950478E-12</v>
      </c>
      <c r="BG127" s="22">
        <f t="shared" si="61"/>
        <v>4.566883036574213E-12</v>
      </c>
      <c r="BH127" s="62">
        <f t="shared" si="62"/>
        <v>293.33333333333786</v>
      </c>
      <c r="BI127" s="62">
        <f ca="1">AVERAGE(OFFSET($BH$3,0,0,'Données projet'!$E$11+1,1))-AVERAGE(OFFSET($H$3,0,0,'Données projet'!$E$11+1,1))</f>
        <v>321.23599968992932</v>
      </c>
      <c r="BJ127" s="62">
        <f t="shared" si="92"/>
        <v>388.05195847800502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33.097087002672993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33.097087002672993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295.83974441964551</v>
      </c>
      <c r="T128" s="62">
        <f t="shared" si="88"/>
        <v>212.24900914818096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78.076817544331945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5.3099495666111285E-6</v>
      </c>
      <c r="AC128" s="24">
        <f t="shared" si="57"/>
        <v>78.076822854281517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-4.5474735088646412E-13</v>
      </c>
      <c r="AJ128" s="14">
        <f>AI128*VLOOKUP('Données projet'!$B$10,Paramètres!$A$1:$I$89,3,0)*VLOOKUP('Données projet'!$B$10,Paramètres!$A$1:$I$89,5,0)</f>
        <v>-2.5420376914553347E-13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512.21337090113502</v>
      </c>
      <c r="AO128" s="62">
        <f t="shared" si="90"/>
        <v>621.03633124474163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101.37925267597987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4.2629275216489739E-8</v>
      </c>
      <c r="AX128" s="23">
        <f t="shared" si="60"/>
        <v>101.37925271860915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1.9895196601282805E-13</v>
      </c>
      <c r="BE128" s="14">
        <f>BD128*VLOOKUP('Données projet'!$B$11,Paramètres!$A$1:$I$89,3,0)*VLOOKUP('Données projet'!$B$11,Paramètres!$A$1:$I$89,5,0)</f>
        <v>1.738044375088066E-13</v>
      </c>
      <c r="BF128" s="14">
        <f t="shared" si="91"/>
        <v>2.4483293633950478E-12</v>
      </c>
      <c r="BG128" s="22">
        <f t="shared" si="61"/>
        <v>4.566883036574213E-12</v>
      </c>
      <c r="BH128" s="62">
        <f t="shared" si="62"/>
        <v>293.33333333333786</v>
      </c>
      <c r="BI128" s="62">
        <f ca="1">AVERAGE(OFFSET($BH$3,0,0,'Données projet'!$E$11+1,1))-AVERAGE(OFFSET($H$3,0,0,'Données projet'!$E$11+1,1))</f>
        <v>321.23599968992932</v>
      </c>
      <c r="BJ128" s="62">
        <f t="shared" si="92"/>
        <v>388.05195847800502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32.448073313780327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32.448073313780327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295.83974441964551</v>
      </c>
      <c r="T129" s="62">
        <f t="shared" si="88"/>
        <v>212.24900914818096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76.545778774444003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3.7547013463092986E-6</v>
      </c>
      <c r="AC129" s="24">
        <f t="shared" si="57"/>
        <v>76.545782529145356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-4.5474735088646412E-13</v>
      </c>
      <c r="AJ129" s="14">
        <f>AI129*VLOOKUP('Données projet'!$B$10,Paramètres!$A$1:$I$89,3,0)*VLOOKUP('Données projet'!$B$10,Paramètres!$A$1:$I$89,5,0)</f>
        <v>-2.5420376914553347E-13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512.21337090113502</v>
      </c>
      <c r="AO129" s="62">
        <f t="shared" si="90"/>
        <v>621.03633124474163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99.391267366242317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3.0143449582647523E-8</v>
      </c>
      <c r="AX129" s="23">
        <f t="shared" si="60"/>
        <v>99.391267396385771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1.9895196601282805E-13</v>
      </c>
      <c r="BE129" s="14">
        <f>BD129*VLOOKUP('Données projet'!$B$11,Paramètres!$A$1:$I$89,3,0)*VLOOKUP('Données projet'!$B$11,Paramètres!$A$1:$I$89,5,0)</f>
        <v>1.738044375088066E-13</v>
      </c>
      <c r="BF129" s="14">
        <f t="shared" si="91"/>
        <v>2.4483293633950478E-12</v>
      </c>
      <c r="BG129" s="22">
        <f t="shared" si="61"/>
        <v>4.566883036574213E-12</v>
      </c>
      <c r="BH129" s="62">
        <f t="shared" si="62"/>
        <v>293.33333333333786</v>
      </c>
      <c r="BI129" s="62">
        <f ca="1">AVERAGE(OFFSET($BH$3,0,0,'Données projet'!$E$11+1,1))-AVERAGE(OFFSET($H$3,0,0,'Données projet'!$E$11+1,1))</f>
        <v>321.23599968992932</v>
      </c>
      <c r="BJ129" s="62">
        <f t="shared" si="92"/>
        <v>388.05195847800502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31.811786387467581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31.811786387467581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295.83974441964551</v>
      </c>
      <c r="T130" s="62">
        <f t="shared" si="88"/>
        <v>212.24900914818096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75.044762740992127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2.6549747833055647E-6</v>
      </c>
      <c r="AC130" s="24">
        <f t="shared" si="57"/>
        <v>75.044765395966905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-4.5474735088646412E-13</v>
      </c>
      <c r="AJ130" s="14">
        <f>AI130*VLOOKUP('Données projet'!$B$10,Paramètres!$A$1:$I$89,3,0)*VLOOKUP('Données projet'!$B$10,Paramètres!$A$1:$I$89,5,0)</f>
        <v>-2.5420376914553347E-13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512.21337090113502</v>
      </c>
      <c r="AO130" s="62">
        <f t="shared" si="90"/>
        <v>621.03633124474163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97.4422652358774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2.1314637608244869E-8</v>
      </c>
      <c r="AX130" s="23">
        <f t="shared" si="60"/>
        <v>97.442265257192034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1.9895196601282805E-13</v>
      </c>
      <c r="BE130" s="14">
        <f>BD130*VLOOKUP('Données projet'!$B$11,Paramètres!$A$1:$I$89,3,0)*VLOOKUP('Données projet'!$B$11,Paramètres!$A$1:$I$89,5,0)</f>
        <v>1.738044375088066E-13</v>
      </c>
      <c r="BF130" s="14">
        <f t="shared" si="91"/>
        <v>2.4483293633950478E-12</v>
      </c>
      <c r="BG130" s="22">
        <f t="shared" si="61"/>
        <v>4.566883036574213E-12</v>
      </c>
      <c r="BH130" s="62">
        <f t="shared" si="62"/>
        <v>293.33333333333786</v>
      </c>
      <c r="BI130" s="62">
        <f ca="1">AVERAGE(OFFSET($BH$3,0,0,'Données projet'!$E$11+1,1))-AVERAGE(OFFSET($H$3,0,0,'Données projet'!$E$11+1,1))</f>
        <v>321.23599968992932</v>
      </c>
      <c r="BJ130" s="62">
        <f t="shared" si="92"/>
        <v>388.05195847800502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31.187976659683123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31.187976659683123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295.83974441964551</v>
      </c>
      <c r="T131" s="62">
        <f t="shared" si="88"/>
        <v>212.24900914818096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73.573180716426862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1.8773506731546495E-6</v>
      </c>
      <c r="AC131" s="24">
        <f t="shared" si="57"/>
        <v>73.573182593777531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-4.5474735088646412E-13</v>
      </c>
      <c r="AJ131" s="14">
        <f>AI131*VLOOKUP('Données projet'!$B$10,Paramètres!$A$1:$I$89,3,0)*VLOOKUP('Données projet'!$B$10,Paramètres!$A$1:$I$89,5,0)</f>
        <v>-2.5420376914553347E-13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512.21337090113502</v>
      </c>
      <c r="AO131" s="62">
        <f t="shared" si="90"/>
        <v>621.03633124474163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95.531481848515028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1.5071724791323761E-8</v>
      </c>
      <c r="AX131" s="23">
        <f t="shared" si="60"/>
        <v>95.531481863586748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1.9895196601282805E-13</v>
      </c>
      <c r="BE131" s="14">
        <f>BD131*VLOOKUP('Données projet'!$B$11,Paramètres!$A$1:$I$89,3,0)*VLOOKUP('Données projet'!$B$11,Paramètres!$A$1:$I$89,5,0)</f>
        <v>1.738044375088066E-13</v>
      </c>
      <c r="BF131" s="14">
        <f t="shared" si="91"/>
        <v>2.4483293633950478E-12</v>
      </c>
      <c r="BG131" s="22">
        <f t="shared" si="61"/>
        <v>4.566883036574213E-12</v>
      </c>
      <c r="BH131" s="62">
        <f t="shared" si="62"/>
        <v>293.33333333333786</v>
      </c>
      <c r="BI131" s="62">
        <f ca="1">AVERAGE(OFFSET($BH$3,0,0,'Données projet'!$E$11+1,1))-AVERAGE(OFFSET($H$3,0,0,'Données projet'!$E$11+1,1))</f>
        <v>321.23599968992932</v>
      </c>
      <c r="BJ131" s="62">
        <f t="shared" si="92"/>
        <v>388.05195847800502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30.576399460174155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30.576399460174155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295.83974441964551</v>
      </c>
      <c r="T132" s="62">
        <f t="shared" si="88"/>
        <v>212.24900914818096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72.130455517786913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1.3274873916527826E-6</v>
      </c>
      <c r="AC132" s="24">
        <f t="shared" ref="AC132:AC153" si="111">SUM(Z132:AB132)</f>
        <v>72.13045684527431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-4.5474735088646412E-13</v>
      </c>
      <c r="AJ132" s="14">
        <f>AI132*VLOOKUP('Données projet'!$B$10,Paramètres!$A$1:$I$89,3,0)*VLOOKUP('Données projet'!$B$10,Paramètres!$A$1:$I$89,5,0)</f>
        <v>-2.5420376914553347E-13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512.21337090113502</v>
      </c>
      <c r="AO132" s="62">
        <f t="shared" si="90"/>
        <v>621.03633124474163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93.658167757916047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1.0657318804122435E-8</v>
      </c>
      <c r="AX132" s="23">
        <f t="shared" ref="AX132:AX153" si="114">SUM(AU132:AW132)</f>
        <v>93.658167768573364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1.9895196601282805E-13</v>
      </c>
      <c r="BE132" s="14">
        <f>BD132*VLOOKUP('Données projet'!$B$11,Paramètres!$A$1:$I$89,3,0)*VLOOKUP('Données projet'!$B$11,Paramètres!$A$1:$I$89,5,0)</f>
        <v>1.738044375088066E-13</v>
      </c>
      <c r="BF132" s="14">
        <f t="shared" si="91"/>
        <v>2.4483293633950478E-12</v>
      </c>
      <c r="BG132" s="22">
        <f t="shared" ref="BG132:BG153" si="115">(BE132+BF132)*0.475*44/12</f>
        <v>4.566883036574213E-12</v>
      </c>
      <c r="BH132" s="62">
        <f t="shared" ref="BH132:BH195" si="116">BG132+(AY132+AZ132)*44/12</f>
        <v>293.33333333333786</v>
      </c>
      <c r="BI132" s="62">
        <f ca="1">AVERAGE(OFFSET($BH$3,0,0,'Données projet'!$E$11+1,1))-AVERAGE(OFFSET($H$3,0,0,'Données projet'!$E$11+1,1))</f>
        <v>321.23599968992932</v>
      </c>
      <c r="BJ132" s="62">
        <f t="shared" si="92"/>
        <v>388.05195847800502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29.976814916522301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29.976814916522301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295.83974441964551</v>
      </c>
      <c r="T133" s="62">
        <f t="shared" ref="T133:T196" si="142">$T$3</f>
        <v>212.24900914818096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70.716021280316809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9.3867533657732485E-7</v>
      </c>
      <c r="AC133" s="24">
        <f t="shared" si="111"/>
        <v>70.716022218992151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-4.5474735088646412E-13</v>
      </c>
      <c r="AJ133" s="14">
        <f>AI133*VLOOKUP('Données projet'!$B$10,Paramètres!$A$1:$I$89,3,0)*VLOOKUP('Données projet'!$B$10,Paramètres!$A$1:$I$89,5,0)</f>
        <v>-2.5420376914553347E-13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512.21337090113502</v>
      </c>
      <c r="AO133" s="62">
        <f t="shared" ref="AO133:AO196" si="144">$AO$3</f>
        <v>621.03633124474163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91.821588214024942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7.5358623956618807E-9</v>
      </c>
      <c r="AX133" s="23">
        <f t="shared" si="114"/>
        <v>91.821588221560802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1.9895196601282805E-13</v>
      </c>
      <c r="BE133" s="14">
        <f>BD133*VLOOKUP('Données projet'!$B$11,Paramètres!$A$1:$I$89,3,0)*VLOOKUP('Données projet'!$B$11,Paramètres!$A$1:$I$89,5,0)</f>
        <v>1.738044375088066E-13</v>
      </c>
      <c r="BF133" s="14">
        <f t="shared" ref="BF133:BF153" si="145">EXP(-1.0587+0.8836*LN(BE133)+0.284)</f>
        <v>2.4483293633950478E-12</v>
      </c>
      <c r="BG133" s="22">
        <f t="shared" si="115"/>
        <v>4.566883036574213E-12</v>
      </c>
      <c r="BH133" s="62">
        <f t="shared" si="116"/>
        <v>293.33333333333786</v>
      </c>
      <c r="BI133" s="62">
        <f ca="1">AVERAGE(OFFSET($BH$3,0,0,'Données projet'!$E$11+1,1))-AVERAGE(OFFSET($H$3,0,0,'Données projet'!$E$11+1,1))</f>
        <v>321.23599968992932</v>
      </c>
      <c r="BJ133" s="62">
        <f t="shared" ref="BJ133:BJ196" si="146">$BJ$3</f>
        <v>388.05195847800502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29.388987860060997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29.388987860060997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295.83974441964551</v>
      </c>
      <c r="T134" s="62">
        <f t="shared" si="142"/>
        <v>212.24900914818096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69.329323235523802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6.6374369582639139E-7</v>
      </c>
      <c r="AC134" s="24">
        <f t="shared" si="111"/>
        <v>69.329323899267493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-4.5474735088646412E-13</v>
      </c>
      <c r="AJ134" s="14">
        <f>AI134*VLOOKUP('Données projet'!$B$10,Paramètres!$A$1:$I$89,3,0)*VLOOKUP('Données projet'!$B$10,Paramètres!$A$1:$I$89,5,0)</f>
        <v>-2.5420376914553347E-13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512.21337090113502</v>
      </c>
      <c r="AO134" s="62">
        <f t="shared" si="144"/>
        <v>621.03633124474163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90.021022874786624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5.3286594020612173E-9</v>
      </c>
      <c r="AX134" s="23">
        <f t="shared" si="114"/>
        <v>90.021022880115282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1.9895196601282805E-13</v>
      </c>
      <c r="BE134" s="14">
        <f>BD134*VLOOKUP('Données projet'!$B$11,Paramètres!$A$1:$I$89,3,0)*VLOOKUP('Données projet'!$B$11,Paramètres!$A$1:$I$89,5,0)</f>
        <v>1.738044375088066E-13</v>
      </c>
      <c r="BF134" s="14">
        <f t="shared" si="145"/>
        <v>2.4483293633950478E-12</v>
      </c>
      <c r="BG134" s="22">
        <f t="shared" si="115"/>
        <v>4.566883036574213E-12</v>
      </c>
      <c r="BH134" s="62">
        <f t="shared" si="116"/>
        <v>293.33333333333786</v>
      </c>
      <c r="BI134" s="62">
        <f ca="1">AVERAGE(OFFSET($BH$3,0,0,'Données projet'!$E$11+1,1))-AVERAGE(OFFSET($H$3,0,0,'Données projet'!$E$11+1,1))</f>
        <v>321.23599968992932</v>
      </c>
      <c r="BJ134" s="62">
        <f t="shared" si="146"/>
        <v>388.05195847800502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28.812687733637798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28.812687733637798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295.83974441964551</v>
      </c>
      <c r="T135" s="62">
        <f t="shared" si="142"/>
        <v>212.24900914818096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67.969817493586888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4.6933766828866253E-7</v>
      </c>
      <c r="AC135" s="24">
        <f t="shared" si="111"/>
        <v>67.969817962924552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-4.5474735088646412E-13</v>
      </c>
      <c r="AJ135" s="14">
        <f>AI135*VLOOKUP('Données projet'!$B$10,Paramètres!$A$1:$I$89,3,0)*VLOOKUP('Données projet'!$B$10,Paramètres!$A$1:$I$89,5,0)</f>
        <v>-2.5420376914553347E-13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512.21337090113502</v>
      </c>
      <c r="AO135" s="62">
        <f t="shared" si="144"/>
        <v>621.03633124474163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88.255765523614357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3.7679311978309403E-9</v>
      </c>
      <c r="AX135" s="23">
        <f t="shared" si="114"/>
        <v>88.255765527382295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1.9895196601282805E-13</v>
      </c>
      <c r="BE135" s="14">
        <f>BD135*VLOOKUP('Données projet'!$B$11,Paramètres!$A$1:$I$89,3,0)*VLOOKUP('Données projet'!$B$11,Paramètres!$A$1:$I$89,5,0)</f>
        <v>1.738044375088066E-13</v>
      </c>
      <c r="BF135" s="14">
        <f t="shared" si="145"/>
        <v>2.4483293633950478E-12</v>
      </c>
      <c r="BG135" s="22">
        <f t="shared" si="115"/>
        <v>4.566883036574213E-12</v>
      </c>
      <c r="BH135" s="62">
        <f t="shared" si="116"/>
        <v>293.33333333333786</v>
      </c>
      <c r="BI135" s="62">
        <f ca="1">AVERAGE(OFFSET($BH$3,0,0,'Données projet'!$E$11+1,1))-AVERAGE(OFFSET($H$3,0,0,'Données projet'!$E$11+1,1))</f>
        <v>321.23599968992932</v>
      </c>
      <c r="BJ135" s="62">
        <f t="shared" si="146"/>
        <v>388.05195847800502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28.24768850118539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28.24768850118539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295.83974441964551</v>
      </c>
      <c r="T136" s="62">
        <f t="shared" si="142"/>
        <v>212.24900914818096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66.636970830032737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3.3187184791319575E-7</v>
      </c>
      <c r="AC136" s="24">
        <f t="shared" si="111"/>
        <v>66.636971161904583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-4.5474735088646412E-13</v>
      </c>
      <c r="AJ136" s="14">
        <f>AI136*VLOOKUP('Données projet'!$B$10,Paramètres!$A$1:$I$89,3,0)*VLOOKUP('Données projet'!$B$10,Paramètres!$A$1:$I$89,5,0)</f>
        <v>-2.5420376914553347E-13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512.21337090113502</v>
      </c>
      <c r="AO136" s="62">
        <f t="shared" si="144"/>
        <v>621.03633124474163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86.525123792397906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2.6643297010306087E-9</v>
      </c>
      <c r="AX136" s="23">
        <f t="shared" si="114"/>
        <v>86.525123795062242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1.9895196601282805E-13</v>
      </c>
      <c r="BE136" s="14">
        <f>BD136*VLOOKUP('Données projet'!$B$11,Paramètres!$A$1:$I$89,3,0)*VLOOKUP('Données projet'!$B$11,Paramètres!$A$1:$I$89,5,0)</f>
        <v>1.738044375088066E-13</v>
      </c>
      <c r="BF136" s="14">
        <f t="shared" si="145"/>
        <v>2.4483293633950478E-12</v>
      </c>
      <c r="BG136" s="22">
        <f t="shared" si="115"/>
        <v>4.566883036574213E-12</v>
      </c>
      <c r="BH136" s="62">
        <f t="shared" si="116"/>
        <v>293.33333333333786</v>
      </c>
      <c r="BI136" s="62">
        <f ca="1">AVERAGE(OFFSET($BH$3,0,0,'Données projet'!$E$11+1,1))-AVERAGE(OFFSET($H$3,0,0,'Données projet'!$E$11+1,1))</f>
        <v>321.23599968992932</v>
      </c>
      <c r="BJ136" s="62">
        <f t="shared" si="146"/>
        <v>388.05195847800502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27.69376855906587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27.69376855906587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295.83974441964551</v>
      </c>
      <c r="T137" s="62">
        <f t="shared" si="142"/>
        <v>212.24900914818096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65.330260476594688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2.3466883414433129E-7</v>
      </c>
      <c r="AC137" s="24">
        <f t="shared" si="111"/>
        <v>65.33026071126352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-4.5474735088646412E-13</v>
      </c>
      <c r="AJ137" s="14">
        <f>AI137*VLOOKUP('Données projet'!$B$10,Paramètres!$A$1:$I$89,3,0)*VLOOKUP('Données projet'!$B$10,Paramètres!$A$1:$I$89,5,0)</f>
        <v>-2.5420376914553347E-13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512.21337090113502</v>
      </c>
      <c r="AO137" s="62">
        <f t="shared" si="144"/>
        <v>621.03633124474163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84.828418889943393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1.8839655989154702E-9</v>
      </c>
      <c r="AX137" s="23">
        <f t="shared" si="114"/>
        <v>84.828418891827354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1.9895196601282805E-13</v>
      </c>
      <c r="BE137" s="14">
        <f>BD137*VLOOKUP('Données projet'!$B$11,Paramètres!$A$1:$I$89,3,0)*VLOOKUP('Données projet'!$B$11,Paramètres!$A$1:$I$89,5,0)</f>
        <v>1.738044375088066E-13</v>
      </c>
      <c r="BF137" s="14">
        <f t="shared" si="145"/>
        <v>2.4483293633950478E-12</v>
      </c>
      <c r="BG137" s="22">
        <f t="shared" si="115"/>
        <v>4.566883036574213E-12</v>
      </c>
      <c r="BH137" s="62">
        <f t="shared" si="116"/>
        <v>293.33333333333786</v>
      </c>
      <c r="BI137" s="62">
        <f ca="1">AVERAGE(OFFSET($BH$3,0,0,'Données projet'!$E$11+1,1))-AVERAGE(OFFSET($H$3,0,0,'Données projet'!$E$11+1,1))</f>
        <v>321.23599968992932</v>
      </c>
      <c r="BJ137" s="62">
        <f t="shared" si="146"/>
        <v>388.05195847800502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27.15071064915351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27.15071064915351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295.83974441964551</v>
      </c>
      <c r="T138" s="62">
        <f t="shared" si="142"/>
        <v>212.24900914818096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64.049173916172947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1.659359239565979E-7</v>
      </c>
      <c r="AC138" s="24">
        <f t="shared" si="111"/>
        <v>64.049174082108877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-4.5474735088646412E-13</v>
      </c>
      <c r="AJ138" s="14">
        <f>AI138*VLOOKUP('Données projet'!$B$10,Paramètres!$A$1:$I$89,3,0)*VLOOKUP('Données projet'!$B$10,Paramètres!$A$1:$I$89,5,0)</f>
        <v>-2.5420376914553347E-13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512.21337090113502</v>
      </c>
      <c r="AO138" s="62">
        <f t="shared" si="144"/>
        <v>621.03633124474163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83.164985335738209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1.3321648505153043E-9</v>
      </c>
      <c r="AX138" s="23">
        <f t="shared" si="114"/>
        <v>83.164985337070377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1.9895196601282805E-13</v>
      </c>
      <c r="BE138" s="14">
        <f>BD138*VLOOKUP('Données projet'!$B$11,Paramètres!$A$1:$I$89,3,0)*VLOOKUP('Données projet'!$B$11,Paramètres!$A$1:$I$89,5,0)</f>
        <v>1.738044375088066E-13</v>
      </c>
      <c r="BF138" s="14">
        <f t="shared" si="145"/>
        <v>2.4483293633950478E-12</v>
      </c>
      <c r="BG138" s="22">
        <f t="shared" si="115"/>
        <v>4.566883036574213E-12</v>
      </c>
      <c r="BH138" s="62">
        <f t="shared" si="116"/>
        <v>293.33333333333786</v>
      </c>
      <c r="BI138" s="62">
        <f ca="1">AVERAGE(OFFSET($BH$3,0,0,'Données projet'!$E$11+1,1))-AVERAGE(OFFSET($H$3,0,0,'Données projet'!$E$11+1,1))</f>
        <v>321.23599968992932</v>
      </c>
      <c r="BJ138" s="62">
        <f t="shared" si="146"/>
        <v>388.05195847800502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26.618301773621912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26.618301773621912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295.83974441964551</v>
      </c>
      <c r="T139" s="62">
        <f t="shared" si="142"/>
        <v>212.24900914818096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62.793208681815422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1.1733441707216567E-7</v>
      </c>
      <c r="AC139" s="24">
        <f t="shared" si="111"/>
        <v>62.793208799149838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-4.5474735088646412E-13</v>
      </c>
      <c r="AJ139" s="14">
        <f>AI139*VLOOKUP('Données projet'!$B$10,Paramètres!$A$1:$I$89,3,0)*VLOOKUP('Données projet'!$B$10,Paramètres!$A$1:$I$89,5,0)</f>
        <v>-2.5420376914553347E-13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512.21337090113502</v>
      </c>
      <c r="AO139" s="62">
        <f t="shared" si="144"/>
        <v>621.03633124474163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81.534170698936691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9.4198279945773508E-10</v>
      </c>
      <c r="AX139" s="23">
        <f t="shared" si="114"/>
        <v>81.534170699878672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1.9895196601282805E-13</v>
      </c>
      <c r="BE139" s="14">
        <f>BD139*VLOOKUP('Données projet'!$B$11,Paramètres!$A$1:$I$89,3,0)*VLOOKUP('Données projet'!$B$11,Paramètres!$A$1:$I$89,5,0)</f>
        <v>1.738044375088066E-13</v>
      </c>
      <c r="BF139" s="14">
        <f t="shared" si="145"/>
        <v>2.4483293633950478E-12</v>
      </c>
      <c r="BG139" s="22">
        <f t="shared" si="115"/>
        <v>4.566883036574213E-12</v>
      </c>
      <c r="BH139" s="62">
        <f t="shared" si="116"/>
        <v>293.33333333333786</v>
      </c>
      <c r="BI139" s="62">
        <f ca="1">AVERAGE(OFFSET($BH$3,0,0,'Données projet'!$E$11+1,1))-AVERAGE(OFFSET($H$3,0,0,'Données projet'!$E$11+1,1))</f>
        <v>321.23599968992932</v>
      </c>
      <c r="BJ139" s="62">
        <f t="shared" si="146"/>
        <v>388.05195847800502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26.096333111402139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26.096333111402139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295.83974441964551</v>
      </c>
      <c r="T140" s="62">
        <f t="shared" si="142"/>
        <v>212.24900914818096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61.561872159640501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8.2967961978298963E-8</v>
      </c>
      <c r="AC140" s="24">
        <f t="shared" si="111"/>
        <v>61.561872242608466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-4.5474735088646412E-13</v>
      </c>
      <c r="AJ140" s="14">
        <f>AI140*VLOOKUP('Données projet'!$B$10,Paramètres!$A$1:$I$89,3,0)*VLOOKUP('Données projet'!$B$10,Paramètres!$A$1:$I$89,5,0)</f>
        <v>-2.5420376914553347E-13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512.21337090113502</v>
      </c>
      <c r="AO140" s="62">
        <f t="shared" si="144"/>
        <v>621.03633124474163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79.935335342464143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6.6608242525765217E-10</v>
      </c>
      <c r="AX140" s="23">
        <f t="shared" si="114"/>
        <v>79.93533534313022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1.9895196601282805E-13</v>
      </c>
      <c r="BE140" s="14">
        <f>BD140*VLOOKUP('Données projet'!$B$11,Paramètres!$A$1:$I$89,3,0)*VLOOKUP('Données projet'!$B$11,Paramètres!$A$1:$I$89,5,0)</f>
        <v>1.738044375088066E-13</v>
      </c>
      <c r="BF140" s="14">
        <f t="shared" si="145"/>
        <v>2.4483293633950478E-12</v>
      </c>
      <c r="BG140" s="22">
        <f t="shared" si="115"/>
        <v>4.566883036574213E-12</v>
      </c>
      <c r="BH140" s="62">
        <f t="shared" si="116"/>
        <v>293.33333333333786</v>
      </c>
      <c r="BI140" s="62">
        <f ca="1">AVERAGE(OFFSET($BH$3,0,0,'Données projet'!$E$11+1,1))-AVERAGE(OFFSET($H$3,0,0,'Données projet'!$E$11+1,1))</f>
        <v>321.23599968992932</v>
      </c>
      <c r="BJ140" s="62">
        <f t="shared" si="146"/>
        <v>388.05195847800502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25.584599936279048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25.584599936279048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295.83974441964551</v>
      </c>
      <c r="T141" s="62">
        <f t="shared" si="142"/>
        <v>212.24900914818096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60.354681395624311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5.8667208536082843E-8</v>
      </c>
      <c r="AC141" s="24">
        <f t="shared" si="111"/>
        <v>60.354681454291523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-4.5474735088646412E-13</v>
      </c>
      <c r="AJ141" s="14">
        <f>AI141*VLOOKUP('Données projet'!$B$10,Paramètres!$A$1:$I$89,3,0)*VLOOKUP('Données projet'!$B$10,Paramètres!$A$1:$I$89,5,0)</f>
        <v>-2.5420376914553347E-13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512.21337090113502</v>
      </c>
      <c r="AO141" s="62">
        <f t="shared" si="144"/>
        <v>621.03633124474163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78.367852172138754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4.7099139972886754E-10</v>
      </c>
      <c r="AX141" s="23">
        <f t="shared" si="114"/>
        <v>78.367852172609744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1.9895196601282805E-13</v>
      </c>
      <c r="BE141" s="14">
        <f>BD141*VLOOKUP('Données projet'!$B$11,Paramètres!$A$1:$I$89,3,0)*VLOOKUP('Données projet'!$B$11,Paramètres!$A$1:$I$89,5,0)</f>
        <v>1.738044375088066E-13</v>
      </c>
      <c r="BF141" s="14">
        <f t="shared" si="145"/>
        <v>2.4483293633950478E-12</v>
      </c>
      <c r="BG141" s="22">
        <f t="shared" si="115"/>
        <v>4.566883036574213E-12</v>
      </c>
      <c r="BH141" s="62">
        <f t="shared" si="116"/>
        <v>293.33333333333786</v>
      </c>
      <c r="BI141" s="62">
        <f ca="1">AVERAGE(OFFSET($BH$3,0,0,'Données projet'!$E$11+1,1))-AVERAGE(OFFSET($H$3,0,0,'Données projet'!$E$11+1,1))</f>
        <v>321.23599968992932</v>
      </c>
      <c r="BJ141" s="62">
        <f t="shared" si="146"/>
        <v>388.05195847800502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25.082901536593706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25.082901536593706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295.83974441964551</v>
      </c>
      <c r="T142" s="62">
        <f t="shared" si="142"/>
        <v>212.24900914818096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59.171162906176818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4.1483980989149488E-8</v>
      </c>
      <c r="AC142" s="24">
        <f t="shared" si="111"/>
        <v>59.171162947660797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-4.5474735088646412E-13</v>
      </c>
      <c r="AJ142" s="14">
        <f>AI142*VLOOKUP('Données projet'!$B$10,Paramètres!$A$1:$I$89,3,0)*VLOOKUP('Données projet'!$B$10,Paramètres!$A$1:$I$89,5,0)</f>
        <v>-2.5420376914553347E-13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512.21337090113502</v>
      </c>
      <c r="AO142" s="62">
        <f t="shared" si="144"/>
        <v>621.03633124474163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76.831106390713117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3.3304121262882608E-10</v>
      </c>
      <c r="AX142" s="23">
        <f t="shared" si="114"/>
        <v>76.831106391046163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1.9895196601282805E-13</v>
      </c>
      <c r="BE142" s="14">
        <f>BD142*VLOOKUP('Données projet'!$B$11,Paramètres!$A$1:$I$89,3,0)*VLOOKUP('Données projet'!$B$11,Paramètres!$A$1:$I$89,5,0)</f>
        <v>1.738044375088066E-13</v>
      </c>
      <c r="BF142" s="14">
        <f t="shared" si="145"/>
        <v>2.4483293633950478E-12</v>
      </c>
      <c r="BG142" s="22">
        <f t="shared" si="115"/>
        <v>4.566883036574213E-12</v>
      </c>
      <c r="BH142" s="62">
        <f t="shared" si="116"/>
        <v>293.33333333333786</v>
      </c>
      <c r="BI142" s="62">
        <f ca="1">AVERAGE(OFFSET($BH$3,0,0,'Données projet'!$E$11+1,1))-AVERAGE(OFFSET($H$3,0,0,'Données projet'!$E$11+1,1))</f>
        <v>321.23599968992932</v>
      </c>
      <c r="BJ142" s="62">
        <f t="shared" si="146"/>
        <v>388.05195847800502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24.591041136520385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24.591041136520385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295.83974441964551</v>
      </c>
      <c r="T143" s="62">
        <f t="shared" si="142"/>
        <v>212.24900914818096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58.010852492432392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2.9333604268041425E-8</v>
      </c>
      <c r="AC143" s="24">
        <f t="shared" si="111"/>
        <v>58.010852521765997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-4.5474735088646412E-13</v>
      </c>
      <c r="AJ143" s="14">
        <f>AI143*VLOOKUP('Données projet'!$B$10,Paramètres!$A$1:$I$89,3,0)*VLOOKUP('Données projet'!$B$10,Paramètres!$A$1:$I$89,5,0)</f>
        <v>-2.5420376914553347E-13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512.21337090113502</v>
      </c>
      <c r="AO143" s="62">
        <f t="shared" si="144"/>
        <v>621.03633124474163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75.324495256738857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2.3549569986443377E-10</v>
      </c>
      <c r="AX143" s="23">
        <f t="shared" si="114"/>
        <v>75.324495256974359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1.9895196601282805E-13</v>
      </c>
      <c r="BE143" s="14">
        <f>BD143*VLOOKUP('Données projet'!$B$11,Paramètres!$A$1:$I$89,3,0)*VLOOKUP('Données projet'!$B$11,Paramètres!$A$1:$I$89,5,0)</f>
        <v>1.738044375088066E-13</v>
      </c>
      <c r="BF143" s="14">
        <f t="shared" si="145"/>
        <v>2.4483293633950478E-12</v>
      </c>
      <c r="BG143" s="22">
        <f t="shared" si="115"/>
        <v>4.566883036574213E-12</v>
      </c>
      <c r="BH143" s="62">
        <f t="shared" si="116"/>
        <v>293.33333333333786</v>
      </c>
      <c r="BI143" s="62">
        <f ca="1">AVERAGE(OFFSET($BH$3,0,0,'Données projet'!$E$11+1,1))-AVERAGE(OFFSET($H$3,0,0,'Données projet'!$E$11+1,1))</f>
        <v>321.23599968992932</v>
      </c>
      <c r="BJ143" s="62">
        <f t="shared" si="146"/>
        <v>388.05195847800502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24.108825818887279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24.108825818887279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295.83974441964551</v>
      </c>
      <c r="T144" s="62">
        <f t="shared" si="142"/>
        <v>212.24900914818096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56.873295058182016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2.0741990494574747E-8</v>
      </c>
      <c r="AC144" s="24">
        <f t="shared" si="111"/>
        <v>56.873295078924009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-4.5474735088646412E-13</v>
      </c>
      <c r="AJ144" s="14">
        <f>AI144*VLOOKUP('Données projet'!$B$10,Paramètres!$A$1:$I$89,3,0)*VLOOKUP('Données projet'!$B$10,Paramètres!$A$1:$I$89,5,0)</f>
        <v>-2.5420376914553347E-13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512.21337090113502</v>
      </c>
      <c r="AO144" s="62">
        <f t="shared" si="144"/>
        <v>621.03633124474163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73.847427848159782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1.6652060631441304E-10</v>
      </c>
      <c r="AX144" s="23">
        <f t="shared" si="114"/>
        <v>73.847427848326305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1.9895196601282805E-13</v>
      </c>
      <c r="BE144" s="14">
        <f>BD144*VLOOKUP('Données projet'!$B$11,Paramètres!$A$1:$I$89,3,0)*VLOOKUP('Données projet'!$B$11,Paramètres!$A$1:$I$89,5,0)</f>
        <v>1.738044375088066E-13</v>
      </c>
      <c r="BF144" s="14">
        <f t="shared" si="145"/>
        <v>2.4483293633950478E-12</v>
      </c>
      <c r="BG144" s="22">
        <f t="shared" si="115"/>
        <v>4.566883036574213E-12</v>
      </c>
      <c r="BH144" s="62">
        <f t="shared" si="116"/>
        <v>293.33333333333786</v>
      </c>
      <c r="BI144" s="62">
        <f ca="1">AVERAGE(OFFSET($BH$3,0,0,'Données projet'!$E$11+1,1))-AVERAGE(OFFSET($H$3,0,0,'Données projet'!$E$11+1,1))</f>
        <v>321.23599968992932</v>
      </c>
      <c r="BJ144" s="62">
        <f t="shared" si="146"/>
        <v>388.05195847800502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23.636066449510658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23.636066449510658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295.83974441964551</v>
      </c>
      <c r="T145" s="62">
        <f t="shared" si="142"/>
        <v>212.24900914818096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55.758044431375772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1.4666802134020716E-8</v>
      </c>
      <c r="AC145" s="24">
        <f t="shared" si="111"/>
        <v>55.758044446042575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-4.5474735088646412E-13</v>
      </c>
      <c r="AJ145" s="14">
        <f>AI145*VLOOKUP('Données projet'!$B$10,Paramètres!$A$1:$I$89,3,0)*VLOOKUP('Données projet'!$B$10,Paramètres!$A$1:$I$89,5,0)</f>
        <v>-2.5420376914553347E-13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512.21337090113502</v>
      </c>
      <c r="AO145" s="62">
        <f t="shared" si="144"/>
        <v>621.03633124474163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72.399324830540777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1.1774784993221689E-10</v>
      </c>
      <c r="AX145" s="23">
        <f t="shared" si="114"/>
        <v>72.399324830658529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1.9895196601282805E-13</v>
      </c>
      <c r="BE145" s="14">
        <f>BD145*VLOOKUP('Données projet'!$B$11,Paramètres!$A$1:$I$89,3,0)*VLOOKUP('Données projet'!$B$11,Paramètres!$A$1:$I$89,5,0)</f>
        <v>1.738044375088066E-13</v>
      </c>
      <c r="BF145" s="14">
        <f t="shared" si="145"/>
        <v>2.4483293633950478E-12</v>
      </c>
      <c r="BG145" s="22">
        <f t="shared" si="115"/>
        <v>4.566883036574213E-12</v>
      </c>
      <c r="BH145" s="62">
        <f t="shared" si="116"/>
        <v>293.33333333333786</v>
      </c>
      <c r="BI145" s="62">
        <f ca="1">AVERAGE(OFFSET($BH$3,0,0,'Données projet'!$E$11+1,1))-AVERAGE(OFFSET($H$3,0,0,'Données projet'!$E$11+1,1))</f>
        <v>321.23599968992932</v>
      </c>
      <c r="BJ145" s="62">
        <f t="shared" si="146"/>
        <v>388.05195847800502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23.172577603012769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23.172577603012769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295.83974441964551</v>
      </c>
      <c r="T146" s="62">
        <f t="shared" si="142"/>
        <v>212.24900914818096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54.664663189125484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1.0370995247287375E-8</v>
      </c>
      <c r="AC146" s="24">
        <f t="shared" si="111"/>
        <v>54.664663199496481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-4.5474735088646412E-13</v>
      </c>
      <c r="AJ146" s="14">
        <f>AI146*VLOOKUP('Données projet'!$B$10,Paramètres!$A$1:$I$89,3,0)*VLOOKUP('Données projet'!$B$10,Paramètres!$A$1:$I$89,5,0)</f>
        <v>-2.5420376914553347E-13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512.21337090113502</v>
      </c>
      <c r="AO146" s="62">
        <f t="shared" si="144"/>
        <v>621.03633124474163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70.979618229841662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8.3260303157206521E-11</v>
      </c>
      <c r="AX146" s="23">
        <f t="shared" si="114"/>
        <v>70.979618229924924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1.9895196601282805E-13</v>
      </c>
      <c r="BE146" s="14">
        <f>BD146*VLOOKUP('Données projet'!$B$11,Paramètres!$A$1:$I$89,3,0)*VLOOKUP('Données projet'!$B$11,Paramètres!$A$1:$I$89,5,0)</f>
        <v>1.738044375088066E-13</v>
      </c>
      <c r="BF146" s="14">
        <f t="shared" si="145"/>
        <v>2.4483293633950478E-12</v>
      </c>
      <c r="BG146" s="22">
        <f t="shared" si="115"/>
        <v>4.566883036574213E-12</v>
      </c>
      <c r="BH146" s="62">
        <f t="shared" si="116"/>
        <v>293.33333333333786</v>
      </c>
      <c r="BI146" s="62">
        <f ca="1">AVERAGE(OFFSET($BH$3,0,0,'Données projet'!$E$11+1,1))-AVERAGE(OFFSET($H$3,0,0,'Données projet'!$E$11+1,1))</f>
        <v>321.23599968992932</v>
      </c>
      <c r="BJ146" s="62">
        <f t="shared" si="146"/>
        <v>388.05195847800502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22.718177490094423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22.718177490094423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295.83974441964551</v>
      </c>
      <c r="T147" s="62">
        <f t="shared" si="142"/>
        <v>212.24900914818096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53.592722486139017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7.3334010670103587E-9</v>
      </c>
      <c r="AC147" s="24">
        <f t="shared" si="111"/>
        <v>53.592722493472415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-4.5474735088646412E-13</v>
      </c>
      <c r="AJ147" s="14">
        <f>AI147*VLOOKUP('Données projet'!$B$10,Paramètres!$A$1:$I$89,3,0)*VLOOKUP('Données projet'!$B$10,Paramètres!$A$1:$I$89,5,0)</f>
        <v>-2.5420376914553347E-13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512.21337090113502</v>
      </c>
      <c r="AO147" s="62">
        <f t="shared" si="144"/>
        <v>621.03633124474163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69.587751209646726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5.8873924966108443E-11</v>
      </c>
      <c r="AX147" s="23">
        <f t="shared" si="114"/>
        <v>69.587751209705601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1.9895196601282805E-13</v>
      </c>
      <c r="BE147" s="14">
        <f>BD147*VLOOKUP('Données projet'!$B$11,Paramètres!$A$1:$I$89,3,0)*VLOOKUP('Données projet'!$B$11,Paramètres!$A$1:$I$89,5,0)</f>
        <v>1.738044375088066E-13</v>
      </c>
      <c r="BF147" s="14">
        <f t="shared" si="145"/>
        <v>2.4483293633950478E-12</v>
      </c>
      <c r="BG147" s="22">
        <f t="shared" si="115"/>
        <v>4.566883036574213E-12</v>
      </c>
      <c r="BH147" s="62">
        <f t="shared" si="116"/>
        <v>293.33333333333786</v>
      </c>
      <c r="BI147" s="62">
        <f ca="1">AVERAGE(OFFSET($BH$3,0,0,'Données projet'!$E$11+1,1))-AVERAGE(OFFSET($H$3,0,0,'Données projet'!$E$11+1,1))</f>
        <v>321.23599968992932</v>
      </c>
      <c r="BJ147" s="62">
        <f t="shared" si="146"/>
        <v>388.05195847800502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22.272687886233701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22.272687886233701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295.83974441964551</v>
      </c>
      <c r="T148" s="62">
        <f t="shared" si="142"/>
        <v>212.24900914818096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52.54180188651884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5.1854976236436885E-9</v>
      </c>
      <c r="AC148" s="24">
        <f t="shared" si="111"/>
        <v>52.541801891704338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-4.5474735088646412E-13</v>
      </c>
      <c r="AJ148" s="14">
        <f>AI148*VLOOKUP('Données projet'!$B$10,Paramètres!$A$1:$I$89,3,0)*VLOOKUP('Données projet'!$B$10,Paramètres!$A$1:$I$89,5,0)</f>
        <v>-2.5420376914553347E-13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512.21337090113502</v>
      </c>
      <c r="AO148" s="62">
        <f t="shared" si="144"/>
        <v>621.03633124474163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68.22317785276276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4.1630151578603261E-11</v>
      </c>
      <c r="AX148" s="23">
        <f t="shared" si="114"/>
        <v>68.223177852804383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1.9895196601282805E-13</v>
      </c>
      <c r="BE148" s="14">
        <f>BD148*VLOOKUP('Données projet'!$B$11,Paramètres!$A$1:$I$89,3,0)*VLOOKUP('Données projet'!$B$11,Paramètres!$A$1:$I$89,5,0)</f>
        <v>1.738044375088066E-13</v>
      </c>
      <c r="BF148" s="14">
        <f t="shared" si="145"/>
        <v>2.4483293633950478E-12</v>
      </c>
      <c r="BG148" s="22">
        <f t="shared" si="115"/>
        <v>4.566883036574213E-12</v>
      </c>
      <c r="BH148" s="62">
        <f t="shared" si="116"/>
        <v>293.33333333333786</v>
      </c>
      <c r="BI148" s="62">
        <f ca="1">AVERAGE(OFFSET($BH$3,0,0,'Données projet'!$E$11+1,1))-AVERAGE(OFFSET($H$3,0,0,'Données projet'!$E$11+1,1))</f>
        <v>321.23599968992932</v>
      </c>
      <c r="BJ148" s="62">
        <f t="shared" si="146"/>
        <v>388.05195847800502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21.835934061782861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21.835934061782861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295.83974441964551</v>
      </c>
      <c r="T149" s="62">
        <f t="shared" si="142"/>
        <v>212.24900914818096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51.511489198858946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3.6667005335051802E-9</v>
      </c>
      <c r="AC149" s="24">
        <f t="shared" si="111"/>
        <v>51.511489202525645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-4.5474735088646412E-13</v>
      </c>
      <c r="AJ149" s="14">
        <f>AI149*VLOOKUP('Données projet'!$B$10,Paramètres!$A$1:$I$89,3,0)*VLOOKUP('Données projet'!$B$10,Paramètres!$A$1:$I$89,5,0)</f>
        <v>-2.5420376914553347E-13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512.21337090113502</v>
      </c>
      <c r="AO149" s="62">
        <f t="shared" si="144"/>
        <v>621.03633124474163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66.885362947099722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2.9436962483054221E-11</v>
      </c>
      <c r="AX149" s="23">
        <f t="shared" si="114"/>
        <v>66.885362947129153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1.9895196601282805E-13</v>
      </c>
      <c r="BE149" s="14">
        <f>BD149*VLOOKUP('Données projet'!$B$11,Paramètres!$A$1:$I$89,3,0)*VLOOKUP('Données projet'!$B$11,Paramètres!$A$1:$I$89,5,0)</f>
        <v>1.738044375088066E-13</v>
      </c>
      <c r="BF149" s="14">
        <f t="shared" si="145"/>
        <v>2.4483293633950478E-12</v>
      </c>
      <c r="BG149" s="22">
        <f t="shared" si="115"/>
        <v>4.566883036574213E-12</v>
      </c>
      <c r="BH149" s="62">
        <f t="shared" si="116"/>
        <v>293.33333333333786</v>
      </c>
      <c r="BI149" s="62">
        <f ca="1">AVERAGE(OFFSET($BH$3,0,0,'Données projet'!$E$11+1,1))-AVERAGE(OFFSET($H$3,0,0,'Données projet'!$E$11+1,1))</f>
        <v>321.23599968992932</v>
      </c>
      <c r="BJ149" s="62">
        <f t="shared" si="146"/>
        <v>388.05195847800502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21.407744713435974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21.407744713435974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295.83974441964551</v>
      </c>
      <c r="T150" s="62">
        <f t="shared" si="142"/>
        <v>212.24900914818096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50.501380314575371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2.5927488118218447E-9</v>
      </c>
      <c r="AC150" s="24">
        <f t="shared" si="111"/>
        <v>50.50138031716812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-4.5474735088646412E-13</v>
      </c>
      <c r="AJ150" s="14">
        <f>AI150*VLOOKUP('Données projet'!$B$10,Paramètres!$A$1:$I$89,3,0)*VLOOKUP('Données projet'!$B$10,Paramètres!$A$1:$I$89,5,0)</f>
        <v>-2.5420376914553347E-13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512.21337090113502</v>
      </c>
      <c r="AO150" s="62">
        <f t="shared" si="144"/>
        <v>621.03633124474163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65.57378177575022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2.081507578930163E-11</v>
      </c>
      <c r="AX150" s="23">
        <f t="shared" si="114"/>
        <v>65.573781775771039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1.9895196601282805E-13</v>
      </c>
      <c r="BE150" s="14">
        <f>BD150*VLOOKUP('Données projet'!$B$11,Paramètres!$A$1:$I$89,3,0)*VLOOKUP('Données projet'!$B$11,Paramètres!$A$1:$I$89,5,0)</f>
        <v>1.738044375088066E-13</v>
      </c>
      <c r="BF150" s="14">
        <f t="shared" si="145"/>
        <v>2.4483293633950478E-12</v>
      </c>
      <c r="BG150" s="22">
        <f t="shared" si="115"/>
        <v>4.566883036574213E-12</v>
      </c>
      <c r="BH150" s="62">
        <f t="shared" si="116"/>
        <v>293.33333333333786</v>
      </c>
      <c r="BI150" s="62">
        <f ca="1">AVERAGE(OFFSET($BH$3,0,0,'Données projet'!$E$11+1,1))-AVERAGE(OFFSET($H$3,0,0,'Données projet'!$E$11+1,1))</f>
        <v>321.23599968992932</v>
      </c>
      <c r="BJ150" s="62">
        <f t="shared" si="146"/>
        <v>388.05195847800502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20.987951897040457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20.987951897040457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295.83974441964551</v>
      </c>
      <c r="T151" s="62">
        <f t="shared" si="142"/>
        <v>212.24900914818096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49.511079049407016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1.8333502667525903E-9</v>
      </c>
      <c r="AC151" s="24">
        <f t="shared" si="111"/>
        <v>49.511079051240365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-4.5474735088646412E-13</v>
      </c>
      <c r="AJ151" s="14">
        <f>AI151*VLOOKUP('Données projet'!$B$10,Paramètres!$A$1:$I$89,3,0)*VLOOKUP('Données projet'!$B$10,Paramètres!$A$1:$I$89,5,0)</f>
        <v>-2.5420376914553347E-13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512.21337090113502</v>
      </c>
      <c r="AO151" s="62">
        <f t="shared" si="144"/>
        <v>621.03633124474163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64.287919911185355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1.4718481241527111E-11</v>
      </c>
      <c r="AX151" s="23">
        <f t="shared" si="114"/>
        <v>64.287919911200078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1.9895196601282805E-13</v>
      </c>
      <c r="BE151" s="14">
        <f>BD151*VLOOKUP('Données projet'!$B$11,Paramètres!$A$1:$I$89,3,0)*VLOOKUP('Données projet'!$B$11,Paramètres!$A$1:$I$89,5,0)</f>
        <v>1.738044375088066E-13</v>
      </c>
      <c r="BF151" s="14">
        <f t="shared" si="145"/>
        <v>2.4483293633950478E-12</v>
      </c>
      <c r="BG151" s="22">
        <f t="shared" si="115"/>
        <v>4.566883036574213E-12</v>
      </c>
      <c r="BH151" s="62">
        <f t="shared" si="116"/>
        <v>293.33333333333786</v>
      </c>
      <c r="BI151" s="62">
        <f ca="1">AVERAGE(OFFSET($BH$3,0,0,'Données projet'!$E$11+1,1))-AVERAGE(OFFSET($H$3,0,0,'Données projet'!$E$11+1,1))</f>
        <v>321.23599968992932</v>
      </c>
      <c r="BJ151" s="62">
        <f t="shared" si="146"/>
        <v>388.05195847800502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20.576390961726119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20.576390961726119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295.83974441964551</v>
      </c>
      <c r="T152" s="62">
        <f t="shared" si="142"/>
        <v>212.24900914818096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48.540196988024483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1.2963744059109225E-9</v>
      </c>
      <c r="AC152" s="24">
        <f t="shared" si="111"/>
        <v>48.540196989320854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-4.5474735088646412E-13</v>
      </c>
      <c r="AJ152" s="14">
        <f>AI152*VLOOKUP('Données projet'!$B$10,Paramètres!$A$1:$I$89,3,0)*VLOOKUP('Données projet'!$B$10,Paramètres!$A$1:$I$89,5,0)</f>
        <v>-2.5420376914553347E-13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512.21337090113502</v>
      </c>
      <c r="AO152" s="62">
        <f t="shared" si="144"/>
        <v>621.03633124474163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63.027273013486315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1.0407537894650815E-11</v>
      </c>
      <c r="AX152" s="23">
        <f t="shared" si="114"/>
        <v>63.027273013496725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1.9895196601282805E-13</v>
      </c>
      <c r="BE152" s="14">
        <f>BD152*VLOOKUP('Données projet'!$B$11,Paramètres!$A$1:$I$89,3,0)*VLOOKUP('Données projet'!$B$11,Paramètres!$A$1:$I$89,5,0)</f>
        <v>1.738044375088066E-13</v>
      </c>
      <c r="BF152" s="14">
        <f t="shared" si="145"/>
        <v>2.4483293633950478E-12</v>
      </c>
      <c r="BG152" s="22">
        <f t="shared" si="115"/>
        <v>4.566883036574213E-12</v>
      </c>
      <c r="BH152" s="62">
        <f t="shared" si="116"/>
        <v>293.33333333333786</v>
      </c>
      <c r="BI152" s="62">
        <f ca="1">AVERAGE(OFFSET($BH$3,0,0,'Données projet'!$E$11+1,1))-AVERAGE(OFFSET($H$3,0,0,'Données projet'!$E$11+1,1))</f>
        <v>321.23599968992932</v>
      </c>
      <c r="BJ152" s="62">
        <f t="shared" si="146"/>
        <v>388.05195847800502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20.172900485325911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20.172900485325911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295.83974441964551</v>
      </c>
      <c r="T153" s="62">
        <f t="shared" si="142"/>
        <v>212.24900914818096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47.588353331686079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9.1667513337629535E-10</v>
      </c>
      <c r="AC153" s="24">
        <f t="shared" si="111"/>
        <v>47.588353332602757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-4.5474735088646412E-13</v>
      </c>
      <c r="AJ153" s="14">
        <f>AI153*VLOOKUP('Données projet'!$B$10,Paramètres!$A$1:$I$89,3,0)*VLOOKUP('Données projet'!$B$10,Paramètres!$A$1:$I$89,5,0)</f>
        <v>-2.5420376914553347E-13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512.21337090113502</v>
      </c>
      <c r="AO153" s="62">
        <f t="shared" si="144"/>
        <v>621.03633124474163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61.791346632532473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7.3592406207635553E-12</v>
      </c>
      <c r="AX153" s="23">
        <f t="shared" si="114"/>
        <v>61.791346632539835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1.9895196601282805E-13</v>
      </c>
      <c r="BE153" s="14">
        <f>BD153*VLOOKUP('Données projet'!$B$11,Paramètres!$A$1:$I$89,3,0)*VLOOKUP('Données projet'!$B$11,Paramètres!$A$1:$I$89,5,0)</f>
        <v>1.738044375088066E-13</v>
      </c>
      <c r="BF153" s="14">
        <f t="shared" si="145"/>
        <v>2.4483293633950478E-12</v>
      </c>
      <c r="BG153" s="22">
        <f t="shared" si="115"/>
        <v>4.566883036574213E-12</v>
      </c>
      <c r="BH153" s="62">
        <f t="shared" si="116"/>
        <v>293.33333333333786</v>
      </c>
      <c r="BI153" s="62">
        <f ca="1">AVERAGE(OFFSET($BH$3,0,0,'Données projet'!$E$11+1,1))-AVERAGE(OFFSET($H$3,0,0,'Données projet'!$E$11+1,1))</f>
        <v>321.23599968992932</v>
      </c>
      <c r="BJ153" s="62">
        <f t="shared" si="146"/>
        <v>388.05195847800502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19.777322211063023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19.777322211063023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295.83974441964551</v>
      </c>
      <c r="T154" s="62">
        <f t="shared" si="142"/>
        <v>212.24900914818096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46.655174748881166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6.4818720295546137E-10</v>
      </c>
      <c r="AC154" s="24">
        <f t="shared" ref="AC154:AC203" si="163">SUM(Z154:AB154)</f>
        <v>46.655174749529351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-4.5474735088646412E-13</v>
      </c>
      <c r="AJ154" s="14">
        <f>AI154*VLOOKUP('Données projet'!$B$10,Paramètres!$A$1:$I$89,3,0)*VLOOKUP('Données projet'!$B$10,Paramètres!$A$1:$I$89,5,0)</f>
        <v>-2.5420376914553347E-13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512.21337090113502</v>
      </c>
      <c r="AO154" s="62">
        <f t="shared" si="144"/>
        <v>621.03633124474163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60.579656014068476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5.2037689473254076E-12</v>
      </c>
      <c r="AX154" s="23">
        <f t="shared" ref="AX154:AX203" si="166">SUM(AU154:AW154)</f>
        <v>60.579656014073677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1.9895196601282805E-13</v>
      </c>
      <c r="BE154" s="14">
        <f>BD154*VLOOKUP('Données projet'!$B$11,Paramètres!$A$1:$I$89,3,0)*VLOOKUP('Données projet'!$B$11,Paramètres!$A$1:$I$89,5,0)</f>
        <v>1.738044375088066E-13</v>
      </c>
      <c r="BF154" s="14">
        <f t="shared" ref="BF154:BF203" si="167">EXP(-1.0587+0.8836*LN(BE154)+0.284)</f>
        <v>2.4483293633950478E-12</v>
      </c>
      <c r="BG154" s="22">
        <f t="shared" ref="BG154:BG203" si="168">(BE154+BF154)*0.475*44/12</f>
        <v>4.566883036574213E-12</v>
      </c>
      <c r="BH154" s="62">
        <f t="shared" si="116"/>
        <v>293.33333333333786</v>
      </c>
      <c r="BI154" s="62">
        <f ca="1">AVERAGE(OFFSET($BH$3,0,0,'Données projet'!$E$11+1,1))-AVERAGE(OFFSET($H$3,0,0,'Données projet'!$E$11+1,1))</f>
        <v>321.23599968992932</v>
      </c>
      <c r="BJ154" s="62">
        <f t="shared" si="146"/>
        <v>388.05195847800502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19.389500985479504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19.389500985479504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295.83974441964551</v>
      </c>
      <c r="T155" s="62">
        <f t="shared" si="142"/>
        <v>212.24900914818096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45.740295228902326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4.5833756668814773E-10</v>
      </c>
      <c r="AC155" s="24">
        <f t="shared" si="163"/>
        <v>45.740295229360662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-4.5474735088646412E-13</v>
      </c>
      <c r="AJ155" s="14">
        <f>AI155*VLOOKUP('Données projet'!$B$10,Paramètres!$A$1:$I$89,3,0)*VLOOKUP('Données projet'!$B$10,Paramètres!$A$1:$I$89,5,0)</f>
        <v>-2.5420376914553347E-13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512.21337090113502</v>
      </c>
      <c r="AO155" s="62">
        <f t="shared" si="144"/>
        <v>621.03633124474163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59.391725909574255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3.6796203103817777E-12</v>
      </c>
      <c r="AX155" s="23">
        <f t="shared" si="166"/>
        <v>59.391725909577936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1.9895196601282805E-13</v>
      </c>
      <c r="BE155" s="14">
        <f>BD155*VLOOKUP('Données projet'!$B$11,Paramètres!$A$1:$I$89,3,0)*VLOOKUP('Données projet'!$B$11,Paramètres!$A$1:$I$89,5,0)</f>
        <v>1.738044375088066E-13</v>
      </c>
      <c r="BF155" s="14">
        <f t="shared" si="167"/>
        <v>2.4483293633950478E-12</v>
      </c>
      <c r="BG155" s="22">
        <f t="shared" si="168"/>
        <v>4.566883036574213E-12</v>
      </c>
      <c r="BH155" s="62">
        <f t="shared" si="116"/>
        <v>293.33333333333786</v>
      </c>
      <c r="BI155" s="62">
        <f ca="1">AVERAGE(OFFSET($BH$3,0,0,'Données projet'!$E$11+1,1))-AVERAGE(OFFSET($H$3,0,0,'Données projet'!$E$11+1,1))</f>
        <v>321.23599968992932</v>
      </c>
      <c r="BJ155" s="62">
        <f t="shared" si="146"/>
        <v>388.05195847800502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19.009284697582089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19.009284697582089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295.83974441964551</v>
      </c>
      <c r="T156" s="62">
        <f t="shared" si="142"/>
        <v>212.24900914818096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44.843355938288859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3.2409360147773074E-10</v>
      </c>
      <c r="AC156" s="24">
        <f t="shared" si="163"/>
        <v>44.843355938612952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-4.5474735088646412E-13</v>
      </c>
      <c r="AJ156" s="14">
        <f>AI156*VLOOKUP('Données projet'!$B$10,Paramètres!$A$1:$I$89,3,0)*VLOOKUP('Données projet'!$B$10,Paramètres!$A$1:$I$89,5,0)</f>
        <v>-2.5420376914553347E-13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512.21337090113502</v>
      </c>
      <c r="AO156" s="62">
        <f t="shared" si="144"/>
        <v>621.03633124474163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58.227090389863349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2.6018844736627038E-12</v>
      </c>
      <c r="AX156" s="23">
        <f t="shared" si="166"/>
        <v>58.22709038986595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1.9895196601282805E-13</v>
      </c>
      <c r="BE156" s="14">
        <f>BD156*VLOOKUP('Données projet'!$B$11,Paramètres!$A$1:$I$89,3,0)*VLOOKUP('Données projet'!$B$11,Paramètres!$A$1:$I$89,5,0)</f>
        <v>1.738044375088066E-13</v>
      </c>
      <c r="BF156" s="14">
        <f t="shared" si="167"/>
        <v>2.4483293633950478E-12</v>
      </c>
      <c r="BG156" s="22">
        <f t="shared" si="168"/>
        <v>4.566883036574213E-12</v>
      </c>
      <c r="BH156" s="62">
        <f t="shared" si="116"/>
        <v>293.33333333333786</v>
      </c>
      <c r="BI156" s="62">
        <f ca="1">AVERAGE(OFFSET($BH$3,0,0,'Données projet'!$E$11+1,1))-AVERAGE(OFFSET($H$3,0,0,'Données projet'!$E$11+1,1))</f>
        <v>321.23599968992932</v>
      </c>
      <c r="BJ156" s="62">
        <f t="shared" si="146"/>
        <v>388.05195847800502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18.636524219181307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18.636524219181307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295.83974441964551</v>
      </c>
      <c r="T157" s="62">
        <f t="shared" si="142"/>
        <v>212.24900914818096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43.964005080085379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2.2916878334407389E-10</v>
      </c>
      <c r="AC157" s="24">
        <f t="shared" si="163"/>
        <v>43.96400508031455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-4.5474735088646412E-13</v>
      </c>
      <c r="AJ157" s="14">
        <f>AI157*VLOOKUP('Données projet'!$B$10,Paramètres!$A$1:$I$89,3,0)*VLOOKUP('Données projet'!$B$10,Paramètres!$A$1:$I$89,5,0)</f>
        <v>-2.5420376914553347E-13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512.21337090113502</v>
      </c>
      <c r="AO157" s="62">
        <f t="shared" si="144"/>
        <v>621.03633124474163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57.08529266233645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1.8398101551908888E-12</v>
      </c>
      <c r="AX157" s="23">
        <f t="shared" si="166"/>
        <v>57.08529266233829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1.9895196601282805E-13</v>
      </c>
      <c r="BE157" s="14">
        <f>BD157*VLOOKUP('Données projet'!$B$11,Paramètres!$A$1:$I$89,3,0)*VLOOKUP('Données projet'!$B$11,Paramètres!$A$1:$I$89,5,0)</f>
        <v>1.738044375088066E-13</v>
      </c>
      <c r="BF157" s="14">
        <f t="shared" si="167"/>
        <v>2.4483293633950478E-12</v>
      </c>
      <c r="BG157" s="22">
        <f t="shared" si="168"/>
        <v>4.566883036574213E-12</v>
      </c>
      <c r="BH157" s="62">
        <f t="shared" si="116"/>
        <v>293.33333333333786</v>
      </c>
      <c r="BI157" s="62">
        <f ca="1">AVERAGE(OFFSET($BH$3,0,0,'Données projet'!$E$11+1,1))-AVERAGE(OFFSET($H$3,0,0,'Données projet'!$E$11+1,1))</f>
        <v>321.23599968992932</v>
      </c>
      <c r="BJ157" s="62">
        <f t="shared" si="146"/>
        <v>388.05195847800502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18.271073346400524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18.271073346400524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295.83974441964551</v>
      </c>
      <c r="T158" s="62">
        <f t="shared" si="142"/>
        <v>212.24900914818096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43.1018977558602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1.6204680073886539E-10</v>
      </c>
      <c r="AC158" s="24">
        <f t="shared" si="163"/>
        <v>43.101897756022247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-4.5474735088646412E-13</v>
      </c>
      <c r="AJ158" s="14">
        <f>AI158*VLOOKUP('Données projet'!$B$10,Paramètres!$A$1:$I$89,3,0)*VLOOKUP('Données projet'!$B$10,Paramètres!$A$1:$I$89,5,0)</f>
        <v>-2.5420376914553347E-13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512.21337090113502</v>
      </c>
      <c r="AO158" s="62">
        <f t="shared" si="144"/>
        <v>621.03633124474163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55.965884891818504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1.3009422368313519E-12</v>
      </c>
      <c r="AX158" s="23">
        <f t="shared" si="166"/>
        <v>55.965884891819805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1.9895196601282805E-13</v>
      </c>
      <c r="BE158" s="14">
        <f>BD158*VLOOKUP('Données projet'!$B$11,Paramètres!$A$1:$I$89,3,0)*VLOOKUP('Données projet'!$B$11,Paramètres!$A$1:$I$89,5,0)</f>
        <v>1.738044375088066E-13</v>
      </c>
      <c r="BF158" s="14">
        <f t="shared" si="167"/>
        <v>2.4483293633950478E-12</v>
      </c>
      <c r="BG158" s="22">
        <f t="shared" si="168"/>
        <v>4.566883036574213E-12</v>
      </c>
      <c r="BH158" s="62">
        <f t="shared" si="116"/>
        <v>293.33333333333786</v>
      </c>
      <c r="BI158" s="62">
        <f ca="1">AVERAGE(OFFSET($BH$3,0,0,'Données projet'!$E$11+1,1))-AVERAGE(OFFSET($H$3,0,0,'Données projet'!$E$11+1,1))</f>
        <v>321.23599968992932</v>
      </c>
      <c r="BJ158" s="62">
        <f t="shared" si="146"/>
        <v>388.05195847800502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17.912788742331948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17.912788742331948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295.83974441964551</v>
      </c>
      <c r="T159" s="62">
        <f t="shared" si="142"/>
        <v>212.24900914818096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42.256695830429535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1.1458439167203697E-10</v>
      </c>
      <c r="AC159" s="24">
        <f t="shared" si="163"/>
        <v>42.256695830544118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-4.5474735088646412E-13</v>
      </c>
      <c r="AJ159" s="14">
        <f>AI159*VLOOKUP('Données projet'!$B$10,Paramètres!$A$1:$I$89,3,0)*VLOOKUP('Données projet'!$B$10,Paramètres!$A$1:$I$89,5,0)</f>
        <v>-2.5420376914553347E-13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512.21337090113502</v>
      </c>
      <c r="AO159" s="62">
        <f t="shared" si="144"/>
        <v>621.03633124474163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54.868428024909093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9.1990507759544442E-13</v>
      </c>
      <c r="AX159" s="23">
        <f t="shared" si="166"/>
        <v>54.86842802491001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1.9895196601282805E-13</v>
      </c>
      <c r="BE159" s="14">
        <f>BD159*VLOOKUP('Données projet'!$B$11,Paramètres!$A$1:$I$89,3,0)*VLOOKUP('Données projet'!$B$11,Paramètres!$A$1:$I$89,5,0)</f>
        <v>1.738044375088066E-13</v>
      </c>
      <c r="BF159" s="14">
        <f t="shared" si="167"/>
        <v>2.4483293633950478E-12</v>
      </c>
      <c r="BG159" s="22">
        <f t="shared" si="168"/>
        <v>4.566883036574213E-12</v>
      </c>
      <c r="BH159" s="62">
        <f t="shared" si="116"/>
        <v>293.33333333333786</v>
      </c>
      <c r="BI159" s="62">
        <f ca="1">AVERAGE(OFFSET($BH$3,0,0,'Données projet'!$E$11+1,1))-AVERAGE(OFFSET($H$3,0,0,'Données projet'!$E$11+1,1))</f>
        <v>321.23599968992932</v>
      </c>
      <c r="BJ159" s="62">
        <f t="shared" si="146"/>
        <v>388.05195847800502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17.561529880817126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17.561529880817126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295.83974441964551</v>
      </c>
      <c r="T160" s="62">
        <f t="shared" si="142"/>
        <v>212.24900914818096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41.428067799234292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8.102340036943271E-11</v>
      </c>
      <c r="AC160" s="24">
        <f t="shared" si="163"/>
        <v>41.428067799315315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-4.5474735088646412E-13</v>
      </c>
      <c r="AJ160" s="14">
        <f>AI160*VLOOKUP('Données projet'!$B$10,Paramètres!$A$1:$I$89,3,0)*VLOOKUP('Données projet'!$B$10,Paramètres!$A$1:$I$89,5,0)</f>
        <v>-2.5420376914553347E-13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512.21337090113502</v>
      </c>
      <c r="AO160" s="62">
        <f t="shared" si="144"/>
        <v>621.03633124474163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53.792491617777188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6.5047111841567595E-13</v>
      </c>
      <c r="AX160" s="23">
        <f t="shared" si="166"/>
        <v>53.792491617777841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1.9895196601282805E-13</v>
      </c>
      <c r="BE160" s="14">
        <f>BD160*VLOOKUP('Données projet'!$B$11,Paramètres!$A$1:$I$89,3,0)*VLOOKUP('Données projet'!$B$11,Paramètres!$A$1:$I$89,5,0)</f>
        <v>1.738044375088066E-13</v>
      </c>
      <c r="BF160" s="14">
        <f t="shared" si="167"/>
        <v>2.4483293633950478E-12</v>
      </c>
      <c r="BG160" s="22">
        <f t="shared" si="168"/>
        <v>4.566883036574213E-12</v>
      </c>
      <c r="BH160" s="62">
        <f t="shared" si="116"/>
        <v>293.33333333333786</v>
      </c>
      <c r="BI160" s="62">
        <f ca="1">AVERAGE(OFFSET($BH$3,0,0,'Données projet'!$E$11+1,1))-AVERAGE(OFFSET($H$3,0,0,'Données projet'!$E$11+1,1))</f>
        <v>321.23599968992932</v>
      </c>
      <c r="BJ160" s="62">
        <f t="shared" si="146"/>
        <v>388.05195847800502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17.21715899132986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17.21715899132986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295.83974441964551</v>
      </c>
      <c r="T161" s="62">
        <f t="shared" si="142"/>
        <v>212.24900914818096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40.615688658317595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5.7292195836018492E-11</v>
      </c>
      <c r="AC161" s="24">
        <f t="shared" si="163"/>
        <v>40.615688658374886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-4.5474735088646412E-13</v>
      </c>
      <c r="AJ161" s="14">
        <f>AI161*VLOOKUP('Données projet'!$B$10,Paramètres!$A$1:$I$89,3,0)*VLOOKUP('Données projet'!$B$10,Paramètres!$A$1:$I$89,5,0)</f>
        <v>-2.5420376914553347E-13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512.21337090113502</v>
      </c>
      <c r="AO161" s="62">
        <f t="shared" si="144"/>
        <v>621.03633124474163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52.737653667332729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4.5995253879772221E-13</v>
      </c>
      <c r="AX161" s="23">
        <f t="shared" si="166"/>
        <v>52.737653667333191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1.9895196601282805E-13</v>
      </c>
      <c r="BE161" s="14">
        <f>BD161*VLOOKUP('Données projet'!$B$11,Paramètres!$A$1:$I$89,3,0)*VLOOKUP('Données projet'!$B$11,Paramètres!$A$1:$I$89,5,0)</f>
        <v>1.738044375088066E-13</v>
      </c>
      <c r="BF161" s="14">
        <f t="shared" si="167"/>
        <v>2.4483293633950478E-12</v>
      </c>
      <c r="BG161" s="22">
        <f t="shared" si="168"/>
        <v>4.566883036574213E-12</v>
      </c>
      <c r="BH161" s="62">
        <f t="shared" si="116"/>
        <v>293.33333333333786</v>
      </c>
      <c r="BI161" s="62">
        <f ca="1">AVERAGE(OFFSET($BH$3,0,0,'Données projet'!$E$11+1,1))-AVERAGE(OFFSET($H$3,0,0,'Données projet'!$E$11+1,1))</f>
        <v>321.23599968992932</v>
      </c>
      <c r="BJ161" s="62">
        <f t="shared" si="146"/>
        <v>388.05195847800502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16.879541004939938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16.879541004939938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295.83974441964551</v>
      </c>
      <c r="T162" s="62">
        <f t="shared" si="142"/>
        <v>212.24900914818096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39.819239776851923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4.0511700184716362E-11</v>
      </c>
      <c r="AC162" s="24">
        <f t="shared" si="163"/>
        <v>39.819239776892438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-4.5474735088646412E-13</v>
      </c>
      <c r="AJ162" s="14">
        <f>AI162*VLOOKUP('Données projet'!$B$10,Paramètres!$A$1:$I$89,3,0)*VLOOKUP('Données projet'!$B$10,Paramètres!$A$1:$I$89,5,0)</f>
        <v>-2.5420376914553347E-13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512.21337090113502</v>
      </c>
      <c r="AO162" s="62">
        <f t="shared" si="144"/>
        <v>621.03633124474163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51.703500445708862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3.2523555920783797E-13</v>
      </c>
      <c r="AX162" s="23">
        <f t="shared" si="166"/>
        <v>51.703500445709189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1.9895196601282805E-13</v>
      </c>
      <c r="BE162" s="14">
        <f>BD162*VLOOKUP('Données projet'!$B$11,Paramètres!$A$1:$I$89,3,0)*VLOOKUP('Données projet'!$B$11,Paramètres!$A$1:$I$89,5,0)</f>
        <v>1.738044375088066E-13</v>
      </c>
      <c r="BF162" s="14">
        <f t="shared" si="167"/>
        <v>2.4483293633950478E-12</v>
      </c>
      <c r="BG162" s="22">
        <f t="shared" si="168"/>
        <v>4.566883036574213E-12</v>
      </c>
      <c r="BH162" s="62">
        <f t="shared" si="116"/>
        <v>293.33333333333786</v>
      </c>
      <c r="BI162" s="62">
        <f ca="1">AVERAGE(OFFSET($BH$3,0,0,'Données projet'!$E$11+1,1))-AVERAGE(OFFSET($H$3,0,0,'Données projet'!$E$11+1,1))</f>
        <v>321.23599968992932</v>
      </c>
      <c r="BJ162" s="62">
        <f t="shared" si="146"/>
        <v>388.05195847800502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16.548543501336482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16.548543501336482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295.83974441964551</v>
      </c>
      <c r="T163" s="62">
        <f t="shared" si="142"/>
        <v>212.24900914818096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39.038408772165944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2.8646097918009252E-11</v>
      </c>
      <c r="AC163" s="24">
        <f t="shared" si="163"/>
        <v>39.038408772194593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-4.5474735088646412E-13</v>
      </c>
      <c r="AJ163" s="14">
        <f>AI163*VLOOKUP('Données projet'!$B$10,Paramètres!$A$1:$I$89,3,0)*VLOOKUP('Données projet'!$B$10,Paramètres!$A$1:$I$89,5,0)</f>
        <v>-2.5420376914553347E-13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512.21337090113502</v>
      </c>
      <c r="AO163" s="62">
        <f t="shared" si="144"/>
        <v>621.03633124474163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50.689626337989857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2.299762693988611E-13</v>
      </c>
      <c r="AX163" s="23">
        <f t="shared" si="166"/>
        <v>50.689626337990084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1.9895196601282805E-13</v>
      </c>
      <c r="BE163" s="14">
        <f>BD163*VLOOKUP('Données projet'!$B$11,Paramètres!$A$1:$I$89,3,0)*VLOOKUP('Données projet'!$B$11,Paramètres!$A$1:$I$89,5,0)</f>
        <v>1.738044375088066E-13</v>
      </c>
      <c r="BF163" s="14">
        <f t="shared" si="167"/>
        <v>2.4483293633950478E-12</v>
      </c>
      <c r="BG163" s="22">
        <f t="shared" si="168"/>
        <v>4.566883036574213E-12</v>
      </c>
      <c r="BH163" s="62">
        <f t="shared" si="116"/>
        <v>293.33333333333786</v>
      </c>
      <c r="BI163" s="62">
        <f ca="1">AVERAGE(OFFSET($BH$3,0,0,'Données projet'!$E$11+1,1))-AVERAGE(OFFSET($H$3,0,0,'Données projet'!$E$11+1,1))</f>
        <v>321.23599968992932</v>
      </c>
      <c r="BJ163" s="62">
        <f t="shared" si="146"/>
        <v>388.05195847800502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16.224036656890149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16.224036656890149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295.83974441964551</v>
      </c>
      <c r="T164" s="62">
        <f t="shared" si="142"/>
        <v>212.24900914818096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38.272889387221973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2.0255850092358184E-11</v>
      </c>
      <c r="AC164" s="24">
        <f t="shared" si="163"/>
        <v>38.27288938724223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-4.5474735088646412E-13</v>
      </c>
      <c r="AJ164" s="14">
        <f>AI164*VLOOKUP('Données projet'!$B$10,Paramètres!$A$1:$I$89,3,0)*VLOOKUP('Données projet'!$B$10,Paramètres!$A$1:$I$89,5,0)</f>
        <v>-2.5420376914553347E-13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512.21337090113502</v>
      </c>
      <c r="AO164" s="62">
        <f t="shared" si="144"/>
        <v>621.03633124474163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49.695633683121081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1.6261777960391899E-13</v>
      </c>
      <c r="AX164" s="23">
        <f t="shared" si="166"/>
        <v>49.695633683121244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1.9895196601282805E-13</v>
      </c>
      <c r="BE164" s="14">
        <f>BD164*VLOOKUP('Données projet'!$B$11,Paramètres!$A$1:$I$89,3,0)*VLOOKUP('Données projet'!$B$11,Paramètres!$A$1:$I$89,5,0)</f>
        <v>1.738044375088066E-13</v>
      </c>
      <c r="BF164" s="14">
        <f t="shared" si="167"/>
        <v>2.4483293633950478E-12</v>
      </c>
      <c r="BG164" s="22">
        <f t="shared" si="168"/>
        <v>4.566883036574213E-12</v>
      </c>
      <c r="BH164" s="62">
        <f t="shared" si="116"/>
        <v>293.33333333333786</v>
      </c>
      <c r="BI164" s="62">
        <f ca="1">AVERAGE(OFFSET($BH$3,0,0,'Données projet'!$E$11+1,1))-AVERAGE(OFFSET($H$3,0,0,'Données projet'!$E$11+1,1))</f>
        <v>321.23599968992932</v>
      </c>
      <c r="BJ164" s="62">
        <f t="shared" si="146"/>
        <v>388.05195847800502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15.905893193733776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15.905893193733776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295.83974441964551</v>
      </c>
      <c r="T165" s="62">
        <f t="shared" si="142"/>
        <v>212.24900914818096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37.522381370496035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1.4323048959004628E-11</v>
      </c>
      <c r="AC165" s="24">
        <f t="shared" si="163"/>
        <v>37.522381370510359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-4.5474735088646412E-13</v>
      </c>
      <c r="AJ165" s="14">
        <f>AI165*VLOOKUP('Données projet'!$B$10,Paramètres!$A$1:$I$89,3,0)*VLOOKUP('Données projet'!$B$10,Paramètres!$A$1:$I$89,5,0)</f>
        <v>-2.5420376914553347E-13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512.21337090113502</v>
      </c>
      <c r="AO165" s="62">
        <f t="shared" si="144"/>
        <v>621.03633124474163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48.721132617938629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1.1498813469943055E-13</v>
      </c>
      <c r="AX165" s="23">
        <f t="shared" si="166"/>
        <v>48.721132617938743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1.9895196601282805E-13</v>
      </c>
      <c r="BE165" s="14">
        <f>BD165*VLOOKUP('Données projet'!$B$11,Paramètres!$A$1:$I$89,3,0)*VLOOKUP('Données projet'!$B$11,Paramètres!$A$1:$I$89,5,0)</f>
        <v>1.738044375088066E-13</v>
      </c>
      <c r="BF165" s="14">
        <f t="shared" si="167"/>
        <v>2.4483293633950478E-12</v>
      </c>
      <c r="BG165" s="22">
        <f t="shared" si="168"/>
        <v>4.566883036574213E-12</v>
      </c>
      <c r="BH165" s="62">
        <f t="shared" si="116"/>
        <v>293.33333333333786</v>
      </c>
      <c r="BI165" s="62">
        <f ca="1">AVERAGE(OFFSET($BH$3,0,0,'Données projet'!$E$11+1,1))-AVERAGE(OFFSET($H$3,0,0,'Données projet'!$E$11+1,1))</f>
        <v>321.23599968992932</v>
      </c>
      <c r="BJ165" s="62">
        <f t="shared" si="146"/>
        <v>388.05195847800502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15.593988329841547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15.593988329841547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295.83974441964551</v>
      </c>
      <c r="T166" s="62">
        <f t="shared" si="142"/>
        <v>212.24900914818096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36.786590358213402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1.0127925046179094E-11</v>
      </c>
      <c r="AC166" s="24">
        <f t="shared" si="163"/>
        <v>36.786590358223528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-4.5474735088646412E-13</v>
      </c>
      <c r="AJ166" s="14">
        <f>AI166*VLOOKUP('Données projet'!$B$10,Paramètres!$A$1:$I$89,3,0)*VLOOKUP('Données projet'!$B$10,Paramètres!$A$1:$I$89,5,0)</f>
        <v>-2.5420376914553347E-13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512.21337090113502</v>
      </c>
      <c r="AO166" s="62">
        <f t="shared" si="144"/>
        <v>621.03633124474163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47.765740924257443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8.1308889801959493E-14</v>
      </c>
      <c r="AX166" s="23">
        <f t="shared" si="166"/>
        <v>47.765740924257521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1.9895196601282805E-13</v>
      </c>
      <c r="BE166" s="14">
        <f>BD166*VLOOKUP('Données projet'!$B$11,Paramètres!$A$1:$I$89,3,0)*VLOOKUP('Données projet'!$B$11,Paramètres!$A$1:$I$89,5,0)</f>
        <v>1.738044375088066E-13</v>
      </c>
      <c r="BF166" s="14">
        <f t="shared" si="167"/>
        <v>2.4483293633950478E-12</v>
      </c>
      <c r="BG166" s="22">
        <f t="shared" si="168"/>
        <v>4.566883036574213E-12</v>
      </c>
      <c r="BH166" s="62">
        <f t="shared" si="116"/>
        <v>293.33333333333786</v>
      </c>
      <c r="BI166" s="62">
        <f ca="1">AVERAGE(OFFSET($BH$3,0,0,'Données projet'!$E$11+1,1))-AVERAGE(OFFSET($H$3,0,0,'Données projet'!$E$11+1,1))</f>
        <v>321.23599968992932</v>
      </c>
      <c r="BJ166" s="62">
        <f t="shared" si="146"/>
        <v>388.05195847800502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15.288199730087063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15.288199730087063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295.83974441964551</v>
      </c>
      <c r="T167" s="62">
        <f t="shared" si="142"/>
        <v>212.24900914818096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36.065227758893428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7.1615244795023147E-12</v>
      </c>
      <c r="AC167" s="24">
        <f t="shared" si="163"/>
        <v>36.065227758900591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-4.5474735088646412E-13</v>
      </c>
      <c r="AJ167" s="14">
        <f>AI167*VLOOKUP('Données projet'!$B$10,Paramètres!$A$1:$I$89,3,0)*VLOOKUP('Données projet'!$B$10,Paramètres!$A$1:$I$89,5,0)</f>
        <v>-2.5420376914553347E-13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512.21337090113502</v>
      </c>
      <c r="AO167" s="62">
        <f t="shared" si="144"/>
        <v>621.03633124474163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46.829083878957952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5.7494067349715276E-14</v>
      </c>
      <c r="AX167" s="23">
        <f t="shared" si="166"/>
        <v>46.829083878958009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1.9895196601282805E-13</v>
      </c>
      <c r="BE167" s="14">
        <f>BD167*VLOOKUP('Données projet'!$B$11,Paramètres!$A$1:$I$89,3,0)*VLOOKUP('Données projet'!$B$11,Paramètres!$A$1:$I$89,5,0)</f>
        <v>1.738044375088066E-13</v>
      </c>
      <c r="BF167" s="14">
        <f t="shared" si="167"/>
        <v>2.4483293633950478E-12</v>
      </c>
      <c r="BG167" s="22">
        <f t="shared" si="168"/>
        <v>4.566883036574213E-12</v>
      </c>
      <c r="BH167" s="62">
        <f t="shared" si="116"/>
        <v>293.33333333333786</v>
      </c>
      <c r="BI167" s="62">
        <f ca="1">AVERAGE(OFFSET($BH$3,0,0,'Données projet'!$E$11+1,1))-AVERAGE(OFFSET($H$3,0,0,'Données projet'!$E$11+1,1))</f>
        <v>321.23599968992932</v>
      </c>
      <c r="BJ167" s="62">
        <f t="shared" si="146"/>
        <v>388.05195847800502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14.988407458261136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14.988407458261136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295.83974441964551</v>
      </c>
      <c r="T168" s="62">
        <f t="shared" si="142"/>
        <v>212.24900914818096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35.358010640158376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5.0639625230895476E-12</v>
      </c>
      <c r="AC168" s="24">
        <f t="shared" si="163"/>
        <v>35.358010640163442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-4.5474735088646412E-13</v>
      </c>
      <c r="AJ168" s="14">
        <f>AI168*VLOOKUP('Données projet'!$B$10,Paramètres!$A$1:$I$89,3,0)*VLOOKUP('Données projet'!$B$10,Paramètres!$A$1:$I$89,5,0)</f>
        <v>-2.5420376914553347E-13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512.21337090113502</v>
      </c>
      <c r="AO168" s="62">
        <f t="shared" si="144"/>
        <v>621.03633124474163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45.9107941070124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4.0654444900979747E-14</v>
      </c>
      <c r="AX168" s="23">
        <f t="shared" si="166"/>
        <v>45.910794107012443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1.9895196601282805E-13</v>
      </c>
      <c r="BE168" s="14">
        <f>BD168*VLOOKUP('Données projet'!$B$11,Paramètres!$A$1:$I$89,3,0)*VLOOKUP('Données projet'!$B$11,Paramètres!$A$1:$I$89,5,0)</f>
        <v>1.738044375088066E-13</v>
      </c>
      <c r="BF168" s="14">
        <f t="shared" si="167"/>
        <v>2.4483293633950478E-12</v>
      </c>
      <c r="BG168" s="22">
        <f t="shared" si="168"/>
        <v>4.566883036574213E-12</v>
      </c>
      <c r="BH168" s="62">
        <f t="shared" si="116"/>
        <v>293.33333333333786</v>
      </c>
      <c r="BI168" s="62">
        <f ca="1">AVERAGE(OFFSET($BH$3,0,0,'Données projet'!$E$11+1,1))-AVERAGE(OFFSET($H$3,0,0,'Données projet'!$E$11+1,1))</f>
        <v>321.23599968992932</v>
      </c>
      <c r="BJ168" s="62">
        <f t="shared" si="146"/>
        <v>388.05195847800502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14.694493930030484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14.694493930030484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295.83974441964551</v>
      </c>
      <c r="T169" s="62">
        <f t="shared" si="142"/>
        <v>212.24900914818096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34.664661617761872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3.5807622397511582E-12</v>
      </c>
      <c r="AC169" s="24">
        <f t="shared" si="163"/>
        <v>34.664661617765454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-4.5474735088646412E-13</v>
      </c>
      <c r="AJ169" s="14">
        <f>AI169*VLOOKUP('Données projet'!$B$10,Paramètres!$A$1:$I$89,3,0)*VLOOKUP('Données projet'!$B$10,Paramètres!$A$1:$I$89,5,0)</f>
        <v>-2.5420376914553347E-13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512.21337090113502</v>
      </c>
      <c r="AO169" s="62">
        <f t="shared" si="144"/>
        <v>621.03633124474163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45.010511437393241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2.8747033674857638E-14</v>
      </c>
      <c r="AX169" s="23">
        <f t="shared" si="166"/>
        <v>45.010511437393269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1.9895196601282805E-13</v>
      </c>
      <c r="BE169" s="14">
        <f>BD169*VLOOKUP('Données projet'!$B$11,Paramètres!$A$1:$I$89,3,0)*VLOOKUP('Données projet'!$B$11,Paramètres!$A$1:$I$89,5,0)</f>
        <v>1.738044375088066E-13</v>
      </c>
      <c r="BF169" s="14">
        <f t="shared" si="167"/>
        <v>2.4483293633950478E-12</v>
      </c>
      <c r="BG169" s="22">
        <f t="shared" si="168"/>
        <v>4.566883036574213E-12</v>
      </c>
      <c r="BH169" s="62">
        <f t="shared" si="116"/>
        <v>293.33333333333786</v>
      </c>
      <c r="BI169" s="62">
        <f ca="1">AVERAGE(OFFSET($BH$3,0,0,'Données projet'!$E$11+1,1))-AVERAGE(OFFSET($H$3,0,0,'Données projet'!$E$11+1,1))</f>
        <v>321.23599968992932</v>
      </c>
      <c r="BJ169" s="62">
        <f t="shared" si="146"/>
        <v>388.05195847800502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14.406343866818885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14.406343866818885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295.83974441964551</v>
      </c>
      <c r="T170" s="62">
        <f t="shared" si="142"/>
        <v>212.24900914818096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33.984908746793415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2.5319812615447742E-12</v>
      </c>
      <c r="AC170" s="24">
        <f t="shared" si="163"/>
        <v>33.984908746795945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-4.5474735088646412E-13</v>
      </c>
      <c r="AJ170" s="14">
        <f>AI170*VLOOKUP('Données projet'!$B$10,Paramètres!$A$1:$I$89,3,0)*VLOOKUP('Données projet'!$B$10,Paramètres!$A$1:$I$89,5,0)</f>
        <v>-2.5420376914553347E-13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512.21337090113502</v>
      </c>
      <c r="AO170" s="62">
        <f t="shared" si="144"/>
        <v>621.03633124474163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44.127882761807108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2.0327222450489873E-14</v>
      </c>
      <c r="AX170" s="23">
        <f t="shared" si="166"/>
        <v>44.127882761807129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1.9895196601282805E-13</v>
      </c>
      <c r="BE170" s="14">
        <f>BD170*VLOOKUP('Données projet'!$B$11,Paramètres!$A$1:$I$89,3,0)*VLOOKUP('Données projet'!$B$11,Paramètres!$A$1:$I$89,5,0)</f>
        <v>1.738044375088066E-13</v>
      </c>
      <c r="BF170" s="14">
        <f t="shared" si="167"/>
        <v>2.4483293633950478E-12</v>
      </c>
      <c r="BG170" s="22">
        <f t="shared" si="168"/>
        <v>4.566883036574213E-12</v>
      </c>
      <c r="BH170" s="62">
        <f t="shared" si="116"/>
        <v>293.33333333333786</v>
      </c>
      <c r="BI170" s="62">
        <f ca="1">AVERAGE(OFFSET($BH$3,0,0,'Données projet'!$E$11+1,1))-AVERAGE(OFFSET($H$3,0,0,'Données projet'!$E$11+1,1))</f>
        <v>321.23599968992932</v>
      </c>
      <c r="BJ170" s="62">
        <f t="shared" si="146"/>
        <v>388.05195847800502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14.123844250592681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14.123844250592681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295.83974441964551</v>
      </c>
      <c r="T171" s="62">
        <f t="shared" si="142"/>
        <v>212.24900914818096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33.31848541501634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1.7903811198755793E-12</v>
      </c>
      <c r="AC171" s="24">
        <f t="shared" si="163"/>
        <v>33.318485415018131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-4.5474735088646412E-13</v>
      </c>
      <c r="AJ171" s="14">
        <f>AI171*VLOOKUP('Données projet'!$B$10,Paramètres!$A$1:$I$89,3,0)*VLOOKUP('Données projet'!$B$10,Paramètres!$A$1:$I$89,5,0)</f>
        <v>-2.5420376914553347E-13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512.21337090113502</v>
      </c>
      <c r="AO171" s="62">
        <f t="shared" si="144"/>
        <v>621.03633124474163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43.262561896198882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1.4373516837428819E-14</v>
      </c>
      <c r="AX171" s="23">
        <f t="shared" si="166"/>
        <v>43.262561896198896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1.9895196601282805E-13</v>
      </c>
      <c r="BE171" s="14">
        <f>BD171*VLOOKUP('Données projet'!$B$11,Paramètres!$A$1:$I$89,3,0)*VLOOKUP('Données projet'!$B$11,Paramètres!$A$1:$I$89,5,0)</f>
        <v>1.738044375088066E-13</v>
      </c>
      <c r="BF171" s="14">
        <f t="shared" si="167"/>
        <v>2.4483293633950478E-12</v>
      </c>
      <c r="BG171" s="22">
        <f t="shared" si="168"/>
        <v>4.566883036574213E-12</v>
      </c>
      <c r="BH171" s="62">
        <f t="shared" si="116"/>
        <v>293.33333333333786</v>
      </c>
      <c r="BI171" s="62">
        <f ca="1">AVERAGE(OFFSET($BH$3,0,0,'Données projet'!$E$11+1,1))-AVERAGE(OFFSET($H$3,0,0,'Données projet'!$E$11+1,1))</f>
        <v>321.23599968992932</v>
      </c>
      <c r="BJ171" s="62">
        <f t="shared" si="146"/>
        <v>388.05195847800502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13.846884279532921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13.846884279532921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295.83974441964551</v>
      </c>
      <c r="T172" s="62">
        <f t="shared" si="142"/>
        <v>212.24900914818096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32.665130238297316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1.2659906307723873E-12</v>
      </c>
      <c r="AC172" s="24">
        <f t="shared" si="163"/>
        <v>32.66513023829858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-4.5474735088646412E-13</v>
      </c>
      <c r="AJ172" s="14">
        <f>AI172*VLOOKUP('Données projet'!$B$10,Paramètres!$A$1:$I$89,3,0)*VLOOKUP('Données projet'!$B$10,Paramètres!$A$1:$I$89,5,0)</f>
        <v>-2.5420376914553347E-13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512.21337090113502</v>
      </c>
      <c r="AO172" s="62">
        <f t="shared" si="144"/>
        <v>621.03633124474163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42.414209444971625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1.0163611225244937E-14</v>
      </c>
      <c r="AX172" s="23">
        <f t="shared" si="166"/>
        <v>42.414209444971632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1.9895196601282805E-13</v>
      </c>
      <c r="BE172" s="14">
        <f>BD172*VLOOKUP('Données projet'!$B$11,Paramètres!$A$1:$I$89,3,0)*VLOOKUP('Données projet'!$B$11,Paramètres!$A$1:$I$89,5,0)</f>
        <v>1.738044375088066E-13</v>
      </c>
      <c r="BF172" s="14">
        <f t="shared" si="167"/>
        <v>2.4483293633950478E-12</v>
      </c>
      <c r="BG172" s="22">
        <f t="shared" si="168"/>
        <v>4.566883036574213E-12</v>
      </c>
      <c r="BH172" s="62">
        <f t="shared" si="116"/>
        <v>293.33333333333786</v>
      </c>
      <c r="BI172" s="62">
        <f ca="1">AVERAGE(OFFSET($BH$3,0,0,'Données projet'!$E$11+1,1))-AVERAGE(OFFSET($H$3,0,0,'Données projet'!$E$11+1,1))</f>
        <v>321.23599968992932</v>
      </c>
      <c r="BJ172" s="62">
        <f t="shared" si="146"/>
        <v>388.05195847800502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13.575355324576741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13.575355324576741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295.83974441964551</v>
      </c>
      <c r="T173" s="62">
        <f t="shared" si="142"/>
        <v>212.24900914818096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32.024586958086445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8.9519055993778984E-13</v>
      </c>
      <c r="AC173" s="24">
        <f t="shared" si="163"/>
        <v>32.02458695808734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-4.5474735088646412E-13</v>
      </c>
      <c r="AJ173" s="14">
        <f>AI173*VLOOKUP('Données projet'!$B$10,Paramètres!$A$1:$I$89,3,0)*VLOOKUP('Données projet'!$B$10,Paramètres!$A$1:$I$89,5,0)</f>
        <v>-2.5420376914553347E-13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512.21337090113502</v>
      </c>
      <c r="AO173" s="62">
        <f t="shared" si="144"/>
        <v>621.03633124474163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41.582492667869033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7.1867584187144095E-15</v>
      </c>
      <c r="AX173" s="23">
        <f t="shared" si="166"/>
        <v>41.58249266786904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1.9895196601282805E-13</v>
      </c>
      <c r="BE173" s="14">
        <f>BD173*VLOOKUP('Données projet'!$B$11,Paramètres!$A$1:$I$89,3,0)*VLOOKUP('Données projet'!$B$11,Paramètres!$A$1:$I$89,5,0)</f>
        <v>1.738044375088066E-13</v>
      </c>
      <c r="BF173" s="14">
        <f t="shared" si="167"/>
        <v>2.4483293633950478E-12</v>
      </c>
      <c r="BG173" s="22">
        <f t="shared" si="168"/>
        <v>4.566883036574213E-12</v>
      </c>
      <c r="BH173" s="62">
        <f t="shared" si="116"/>
        <v>293.33333333333786</v>
      </c>
      <c r="BI173" s="62">
        <f ca="1">AVERAGE(OFFSET($BH$3,0,0,'Données projet'!$E$11+1,1))-AVERAGE(OFFSET($H$3,0,0,'Données projet'!$E$11+1,1))</f>
        <v>321.23599968992932</v>
      </c>
      <c r="BJ173" s="62">
        <f t="shared" si="146"/>
        <v>388.05195847800502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13.309150886810942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13.309150886810942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295.83974441964551</v>
      </c>
      <c r="T174" s="62">
        <f t="shared" si="142"/>
        <v>212.24900914818096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31.396604340907682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6.3299531538619376E-13</v>
      </c>
      <c r="AC174" s="24">
        <f t="shared" si="163"/>
        <v>31.396604340908315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-4.5474735088646412E-13</v>
      </c>
      <c r="AJ174" s="14">
        <f>AI174*VLOOKUP('Données projet'!$B$10,Paramètres!$A$1:$I$89,3,0)*VLOOKUP('Données projet'!$B$10,Paramètres!$A$1:$I$89,5,0)</f>
        <v>-2.5420376914553347E-13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512.21337090113502</v>
      </c>
      <c r="AO174" s="62">
        <f t="shared" si="144"/>
        <v>621.03633124474163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40.767085349468282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5.0818056126224683E-15</v>
      </c>
      <c r="AX174" s="23">
        <f t="shared" si="166"/>
        <v>40.767085349468289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1.9895196601282805E-13</v>
      </c>
      <c r="BE174" s="14">
        <f>BD174*VLOOKUP('Données projet'!$B$11,Paramètres!$A$1:$I$89,3,0)*VLOOKUP('Données projet'!$B$11,Paramètres!$A$1:$I$89,5,0)</f>
        <v>1.738044375088066E-13</v>
      </c>
      <c r="BF174" s="14">
        <f t="shared" si="167"/>
        <v>2.4483293633950478E-12</v>
      </c>
      <c r="BG174" s="22">
        <f t="shared" si="168"/>
        <v>4.566883036574213E-12</v>
      </c>
      <c r="BH174" s="62">
        <f t="shared" si="116"/>
        <v>293.33333333333786</v>
      </c>
      <c r="BI174" s="62">
        <f ca="1">AVERAGE(OFFSET($BH$3,0,0,'Données projet'!$E$11+1,1))-AVERAGE(OFFSET($H$3,0,0,'Données projet'!$E$11+1,1))</f>
        <v>321.23599968992932</v>
      </c>
      <c r="BJ174" s="62">
        <f t="shared" si="146"/>
        <v>388.05195847800502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13.048166555701055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13.048166555701055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295.83974441964551</v>
      </c>
      <c r="T175" s="62">
        <f t="shared" si="142"/>
        <v>212.24900914818096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30.780936079820222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4.4759527996889497E-13</v>
      </c>
      <c r="AC175" s="24">
        <f t="shared" si="163"/>
        <v>30.78093607982067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-4.5474735088646412E-13</v>
      </c>
      <c r="AJ175" s="14">
        <f>AI175*VLOOKUP('Données projet'!$B$10,Paramètres!$A$1:$I$89,3,0)*VLOOKUP('Données projet'!$B$10,Paramètres!$A$1:$I$89,5,0)</f>
        <v>-2.5420376914553347E-13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512.21337090113502</v>
      </c>
      <c r="AO175" s="62">
        <f t="shared" si="144"/>
        <v>621.03633124474163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39.967667671232014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3.5933792093572047E-15</v>
      </c>
      <c r="AX175" s="23">
        <f t="shared" si="166"/>
        <v>39.967667671232022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1.9895196601282805E-13</v>
      </c>
      <c r="BE175" s="14">
        <f>BD175*VLOOKUP('Données projet'!$B$11,Paramètres!$A$1:$I$89,3,0)*VLOOKUP('Données projet'!$B$11,Paramètres!$A$1:$I$89,5,0)</f>
        <v>1.738044375088066E-13</v>
      </c>
      <c r="BF175" s="14">
        <f t="shared" si="167"/>
        <v>2.4483293633950478E-12</v>
      </c>
      <c r="BG175" s="22">
        <f t="shared" si="168"/>
        <v>4.566883036574213E-12</v>
      </c>
      <c r="BH175" s="62">
        <f t="shared" si="116"/>
        <v>293.33333333333786</v>
      </c>
      <c r="BI175" s="62">
        <f ca="1">AVERAGE(OFFSET($BH$3,0,0,'Données projet'!$E$11+1,1))-AVERAGE(OFFSET($H$3,0,0,'Données projet'!$E$11+1,1))</f>
        <v>321.23599968992932</v>
      </c>
      <c r="BJ175" s="62">
        <f t="shared" si="146"/>
        <v>388.05195847800502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12.79229996813951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12.79229996813951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295.83974441964551</v>
      </c>
      <c r="T176" s="62">
        <f t="shared" si="142"/>
        <v>212.24900914818096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30.177340697812127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3.1649765769309693E-13</v>
      </c>
      <c r="AC176" s="24">
        <f t="shared" si="163"/>
        <v>30.177340697812443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-4.5474735088646412E-13</v>
      </c>
      <c r="AJ176" s="14">
        <f>AI176*VLOOKUP('Données projet'!$B$10,Paramètres!$A$1:$I$89,3,0)*VLOOKUP('Données projet'!$B$10,Paramètres!$A$1:$I$89,5,0)</f>
        <v>-2.5420376914553347E-13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512.21337090113502</v>
      </c>
      <c r="AO176" s="62">
        <f t="shared" si="144"/>
        <v>621.03633124474163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39.18392608606932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2.5409028063112342E-15</v>
      </c>
      <c r="AX176" s="23">
        <f t="shared" si="166"/>
        <v>39.18392608606932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1.9895196601282805E-13</v>
      </c>
      <c r="BE176" s="14">
        <f>BD176*VLOOKUP('Données projet'!$B$11,Paramètres!$A$1:$I$89,3,0)*VLOOKUP('Données projet'!$B$11,Paramètres!$A$1:$I$89,5,0)</f>
        <v>1.738044375088066E-13</v>
      </c>
      <c r="BF176" s="14">
        <f t="shared" si="167"/>
        <v>2.4483293633950478E-12</v>
      </c>
      <c r="BG176" s="22">
        <f t="shared" si="168"/>
        <v>4.566883036574213E-12</v>
      </c>
      <c r="BH176" s="62">
        <f t="shared" si="116"/>
        <v>293.33333333333786</v>
      </c>
      <c r="BI176" s="62">
        <f ca="1">AVERAGE(OFFSET($BH$3,0,0,'Données projet'!$E$11+1,1))-AVERAGE(OFFSET($H$3,0,0,'Données projet'!$E$11+1,1))</f>
        <v>321.23599968992932</v>
      </c>
      <c r="BJ176" s="62">
        <f t="shared" si="146"/>
        <v>388.05195847800502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12.541450768296839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12.541450768296839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295.83974441964551</v>
      </c>
      <c r="T177" s="62">
        <f t="shared" si="142"/>
        <v>212.24900914818096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29.58558145308838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2.2379763998444754E-13</v>
      </c>
      <c r="AC177" s="24">
        <f t="shared" si="163"/>
        <v>29.585581453088604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-4.5474735088646412E-13</v>
      </c>
      <c r="AJ177" s="14">
        <f>AI177*VLOOKUP('Données projet'!$B$10,Paramètres!$A$1:$I$89,3,0)*VLOOKUP('Données projet'!$B$10,Paramètres!$A$1:$I$89,5,0)</f>
        <v>-2.5420376914553347E-13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512.21337090113502</v>
      </c>
      <c r="AO177" s="62">
        <f t="shared" si="144"/>
        <v>621.03633124474163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38.415553195356502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1.7966896046786024E-15</v>
      </c>
      <c r="AX177" s="23">
        <f t="shared" si="166"/>
        <v>38.415553195356502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1.9895196601282805E-13</v>
      </c>
      <c r="BE177" s="14">
        <f>BD177*VLOOKUP('Données projet'!$B$11,Paramètres!$A$1:$I$89,3,0)*VLOOKUP('Données projet'!$B$11,Paramètres!$A$1:$I$89,5,0)</f>
        <v>1.738044375088066E-13</v>
      </c>
      <c r="BF177" s="14">
        <f t="shared" si="167"/>
        <v>2.4483293633950478E-12</v>
      </c>
      <c r="BG177" s="22">
        <f t="shared" si="168"/>
        <v>4.566883036574213E-12</v>
      </c>
      <c r="BH177" s="62">
        <f t="shared" si="116"/>
        <v>293.33333333333786</v>
      </c>
      <c r="BI177" s="62">
        <f ca="1">AVERAGE(OFFSET($BH$3,0,0,'Données projet'!$E$11+1,1))-AVERAGE(OFFSET($H$3,0,0,'Données projet'!$E$11+1,1))</f>
        <v>321.23599968992932</v>
      </c>
      <c r="BJ177" s="62">
        <f t="shared" si="146"/>
        <v>388.05195847800502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12.295520568260178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12.295520568260178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295.83974441964551</v>
      </c>
      <c r="T178" s="62">
        <f t="shared" si="142"/>
        <v>212.24900914818096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29.005426246216167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1.5824882884654849E-13</v>
      </c>
      <c r="AC178" s="24">
        <f t="shared" si="163"/>
        <v>29.005426246216327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-4.5474735088646412E-13</v>
      </c>
      <c r="AJ178" s="14">
        <f>AI178*VLOOKUP('Données projet'!$B$10,Paramètres!$A$1:$I$89,3,0)*VLOOKUP('Données projet'!$B$10,Paramètres!$A$1:$I$89,5,0)</f>
        <v>-2.5420376914553347E-13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512.21337090113502</v>
      </c>
      <c r="AO178" s="62">
        <f t="shared" si="144"/>
        <v>621.03633124474163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37.662247628369371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1.2704514031556171E-15</v>
      </c>
      <c r="AX178" s="23">
        <f t="shared" si="166"/>
        <v>37.662247628369371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1.9895196601282805E-13</v>
      </c>
      <c r="BE178" s="14">
        <f>BD178*VLOOKUP('Données projet'!$B$11,Paramètres!$A$1:$I$89,3,0)*VLOOKUP('Données projet'!$B$11,Paramètres!$A$1:$I$89,5,0)</f>
        <v>1.738044375088066E-13</v>
      </c>
      <c r="BF178" s="14">
        <f t="shared" si="167"/>
        <v>2.4483293633950478E-12</v>
      </c>
      <c r="BG178" s="22">
        <f t="shared" si="168"/>
        <v>4.566883036574213E-12</v>
      </c>
      <c r="BH178" s="62">
        <f t="shared" si="116"/>
        <v>293.33333333333786</v>
      </c>
      <c r="BI178" s="62">
        <f ca="1">AVERAGE(OFFSET($BH$3,0,0,'Données projet'!$E$11+1,1))-AVERAGE(OFFSET($H$3,0,0,'Données projet'!$E$11+1,1))</f>
        <v>321.23599968992932</v>
      </c>
      <c r="BJ178" s="62">
        <f t="shared" si="146"/>
        <v>388.05195847800502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12.054412909443625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12.054412909443625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295.83974441964551</v>
      </c>
      <c r="T179" s="62">
        <f t="shared" si="142"/>
        <v>212.24900914818096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28.436647529090983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1.1189881999222378E-13</v>
      </c>
      <c r="AC179" s="24">
        <f t="shared" si="163"/>
        <v>28.436647529091093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-4.5474735088646412E-13</v>
      </c>
      <c r="AJ179" s="14">
        <f>AI179*VLOOKUP('Données projet'!$B$10,Paramètres!$A$1:$I$89,3,0)*VLOOKUP('Données projet'!$B$10,Paramètres!$A$1:$I$89,5,0)</f>
        <v>-2.5420376914553347E-13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512.21337090113502</v>
      </c>
      <c r="AO179" s="62">
        <f t="shared" si="144"/>
        <v>621.03633124474163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36.923713924079834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8.9834480233930119E-16</v>
      </c>
      <c r="AX179" s="23">
        <f t="shared" si="166"/>
        <v>36.923713924079834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1.9895196601282805E-13</v>
      </c>
      <c r="BE179" s="14">
        <f>BD179*VLOOKUP('Données projet'!$B$11,Paramètres!$A$1:$I$89,3,0)*VLOOKUP('Données projet'!$B$11,Paramètres!$A$1:$I$89,5,0)</f>
        <v>1.738044375088066E-13</v>
      </c>
      <c r="BF179" s="14">
        <f t="shared" si="167"/>
        <v>2.4483293633950478E-12</v>
      </c>
      <c r="BG179" s="22">
        <f t="shared" si="168"/>
        <v>4.566883036574213E-12</v>
      </c>
      <c r="BH179" s="62">
        <f t="shared" si="116"/>
        <v>293.33333333333786</v>
      </c>
      <c r="BI179" s="62">
        <f ca="1">AVERAGE(OFFSET($BH$3,0,0,'Données projet'!$E$11+1,1))-AVERAGE(OFFSET($H$3,0,0,'Données projet'!$E$11+1,1))</f>
        <v>321.23599968992932</v>
      </c>
      <c r="BJ179" s="62">
        <f t="shared" si="146"/>
        <v>388.05195847800502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11.818033224755315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11.818033224755315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295.83974441964551</v>
      </c>
      <c r="T180" s="62">
        <f t="shared" si="142"/>
        <v>212.24900914818096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27.879022215687861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7.9124414423274257E-14</v>
      </c>
      <c r="AC180" s="24">
        <f t="shared" si="163"/>
        <v>27.879022215687939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-4.5474735088646412E-13</v>
      </c>
      <c r="AJ180" s="14">
        <f>AI180*VLOOKUP('Données projet'!$B$10,Paramètres!$A$1:$I$89,3,0)*VLOOKUP('Données projet'!$B$10,Paramètres!$A$1:$I$89,5,0)</f>
        <v>-2.5420376914553347E-13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512.21337090113502</v>
      </c>
      <c r="AO180" s="62">
        <f t="shared" si="144"/>
        <v>621.03633124474163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36.199662415270332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6.3522570157780854E-16</v>
      </c>
      <c r="AX180" s="23">
        <f t="shared" si="166"/>
        <v>36.199662415270332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1.9895196601282805E-13</v>
      </c>
      <c r="BE180" s="14">
        <f>BD180*VLOOKUP('Données projet'!$B$11,Paramètres!$A$1:$I$89,3,0)*VLOOKUP('Données projet'!$B$11,Paramètres!$A$1:$I$89,5,0)</f>
        <v>1.738044375088066E-13</v>
      </c>
      <c r="BF180" s="14">
        <f t="shared" si="167"/>
        <v>2.4483293633950478E-12</v>
      </c>
      <c r="BG180" s="22">
        <f t="shared" si="168"/>
        <v>4.566883036574213E-12</v>
      </c>
      <c r="BH180" s="62">
        <f t="shared" si="116"/>
        <v>293.33333333333786</v>
      </c>
      <c r="BI180" s="62">
        <f ca="1">AVERAGE(OFFSET($BH$3,0,0,'Données projet'!$E$11+1,1))-AVERAGE(OFFSET($H$3,0,0,'Données projet'!$E$11+1,1))</f>
        <v>321.23599968992932</v>
      </c>
      <c r="BJ180" s="62">
        <f t="shared" si="146"/>
        <v>388.05195847800502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11.58628880150637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11.58628880150637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295.83974441964551</v>
      </c>
      <c r="T181" s="62">
        <f t="shared" si="142"/>
        <v>212.24900914818096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27.332331594562717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5.5949409996111897E-14</v>
      </c>
      <c r="AC181" s="24">
        <f t="shared" si="163"/>
        <v>27.332331594562774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-4.5474735088646412E-13</v>
      </c>
      <c r="AJ181" s="14">
        <f>AI181*VLOOKUP('Données projet'!$B$10,Paramètres!$A$1:$I$89,3,0)*VLOOKUP('Données projet'!$B$10,Paramètres!$A$1:$I$89,5,0)</f>
        <v>-2.5420376914553347E-13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512.21337090113502</v>
      </c>
      <c r="AO181" s="62">
        <f t="shared" si="144"/>
        <v>621.03633124474163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35.489809114920774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4.4917240116965059E-16</v>
      </c>
      <c r="AX181" s="23">
        <f t="shared" si="166"/>
        <v>35.489809114920774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1.9895196601282805E-13</v>
      </c>
      <c r="BE181" s="14">
        <f>BD181*VLOOKUP('Données projet'!$B$11,Paramètres!$A$1:$I$89,3,0)*VLOOKUP('Données projet'!$B$11,Paramètres!$A$1:$I$89,5,0)</f>
        <v>1.738044375088066E-13</v>
      </c>
      <c r="BF181" s="14">
        <f t="shared" si="167"/>
        <v>2.4483293633950478E-12</v>
      </c>
      <c r="BG181" s="22">
        <f t="shared" si="168"/>
        <v>4.566883036574213E-12</v>
      </c>
      <c r="BH181" s="62">
        <f t="shared" si="116"/>
        <v>293.33333333333786</v>
      </c>
      <c r="BI181" s="62">
        <f ca="1">AVERAGE(OFFSET($BH$3,0,0,'Données projet'!$E$11+1,1))-AVERAGE(OFFSET($H$3,0,0,'Données projet'!$E$11+1,1))</f>
        <v>321.23599968992932</v>
      </c>
      <c r="BJ181" s="62">
        <f t="shared" si="146"/>
        <v>388.05195847800502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11.359088745047197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11.359088745047197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295.83974441964551</v>
      </c>
      <c r="T182" s="62">
        <f t="shared" si="142"/>
        <v>212.24900914818096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26.796361243069484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3.9562207211637135E-14</v>
      </c>
      <c r="AC182" s="24">
        <f t="shared" si="163"/>
        <v>26.796361243069523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-4.5474735088646412E-13</v>
      </c>
      <c r="AJ182" s="14">
        <f>AI182*VLOOKUP('Données projet'!$B$10,Paramètres!$A$1:$I$89,3,0)*VLOOKUP('Données projet'!$B$10,Paramètres!$A$1:$I$89,5,0)</f>
        <v>-2.5420376914553347E-13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512.21337090113502</v>
      </c>
      <c r="AO182" s="62">
        <f t="shared" si="144"/>
        <v>621.03633124474163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34.793875604823306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3.1761285078890427E-16</v>
      </c>
      <c r="AX182" s="23">
        <f t="shared" si="166"/>
        <v>34.793875604823306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1.9895196601282805E-13</v>
      </c>
      <c r="BE182" s="14">
        <f>BD182*VLOOKUP('Données projet'!$B$11,Paramètres!$A$1:$I$89,3,0)*VLOOKUP('Données projet'!$B$11,Paramètres!$A$1:$I$89,5,0)</f>
        <v>1.738044375088066E-13</v>
      </c>
      <c r="BF182" s="14">
        <f t="shared" si="167"/>
        <v>2.4483293633950478E-12</v>
      </c>
      <c r="BG182" s="22">
        <f t="shared" si="168"/>
        <v>4.566883036574213E-12</v>
      </c>
      <c r="BH182" s="62">
        <f t="shared" si="116"/>
        <v>293.33333333333786</v>
      </c>
      <c r="BI182" s="62">
        <f ca="1">AVERAGE(OFFSET($BH$3,0,0,'Données projet'!$E$11+1,1))-AVERAGE(OFFSET($H$3,0,0,'Données projet'!$E$11+1,1))</f>
        <v>321.23599968992932</v>
      </c>
      <c r="BJ182" s="62">
        <f t="shared" si="146"/>
        <v>388.05195847800502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11.136343943116838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11.136343943116838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295.83974441964551</v>
      </c>
      <c r="T183" s="62">
        <f t="shared" si="142"/>
        <v>212.24900914818096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26.270900943259399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2.7974704998055955E-14</v>
      </c>
      <c r="AC183" s="24">
        <f t="shared" si="163"/>
        <v>26.270900943259427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-4.5474735088646412E-13</v>
      </c>
      <c r="AJ183" s="14">
        <f>AI183*VLOOKUP('Données projet'!$B$10,Paramètres!$A$1:$I$89,3,0)*VLOOKUP('Données projet'!$B$10,Paramètres!$A$1:$I$89,5,0)</f>
        <v>-2.5420376914553347E-13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512.21337090113502</v>
      </c>
      <c r="AO183" s="62">
        <f t="shared" si="144"/>
        <v>621.03633124474163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34.111588926381323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2.245862005848253E-16</v>
      </c>
      <c r="AX183" s="23">
        <f t="shared" si="166"/>
        <v>34.111588926381323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1.9895196601282805E-13</v>
      </c>
      <c r="BE183" s="14">
        <f>BD183*VLOOKUP('Données projet'!$B$11,Paramètres!$A$1:$I$89,3,0)*VLOOKUP('Données projet'!$B$11,Paramètres!$A$1:$I$89,5,0)</f>
        <v>1.738044375088066E-13</v>
      </c>
      <c r="BF183" s="14">
        <f t="shared" si="167"/>
        <v>2.4483293633950478E-12</v>
      </c>
      <c r="BG183" s="22">
        <f t="shared" si="168"/>
        <v>4.566883036574213E-12</v>
      </c>
      <c r="BH183" s="62">
        <f t="shared" si="116"/>
        <v>293.33333333333786</v>
      </c>
      <c r="BI183" s="62">
        <f ca="1">AVERAGE(OFFSET($BH$3,0,0,'Données projet'!$E$11+1,1))-AVERAGE(OFFSET($H$3,0,0,'Données projet'!$E$11+1,1))</f>
        <v>321.23599968992932</v>
      </c>
      <c r="BJ183" s="62">
        <f t="shared" si="146"/>
        <v>388.05195847800502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10.917967030891418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10.917967030891418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295.83974441964551</v>
      </c>
      <c r="T184" s="62">
        <f t="shared" si="142"/>
        <v>212.24900914818096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25.755744599429452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1.9781103605818571E-14</v>
      </c>
      <c r="AC184" s="24">
        <f t="shared" si="163"/>
        <v>25.755744599429473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-4.5474735088646412E-13</v>
      </c>
      <c r="AJ184" s="14">
        <f>AI184*VLOOKUP('Données projet'!$B$10,Paramètres!$A$1:$I$89,3,0)*VLOOKUP('Données projet'!$B$10,Paramètres!$A$1:$I$89,5,0)</f>
        <v>-2.5420376914553347E-13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512.21337090113502</v>
      </c>
      <c r="AO184" s="62">
        <f t="shared" si="144"/>
        <v>621.03633124474163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33.442681473549804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1.5880642539445214E-16</v>
      </c>
      <c r="AX184" s="23">
        <f t="shared" si="166"/>
        <v>33.442681473549804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1.9895196601282805E-13</v>
      </c>
      <c r="BE184" s="14">
        <f>BD184*VLOOKUP('Données projet'!$B$11,Paramètres!$A$1:$I$89,3,0)*VLOOKUP('Données projet'!$B$11,Paramètres!$A$1:$I$89,5,0)</f>
        <v>1.738044375088066E-13</v>
      </c>
      <c r="BF184" s="14">
        <f t="shared" si="167"/>
        <v>2.4483293633950478E-12</v>
      </c>
      <c r="BG184" s="22">
        <f t="shared" si="168"/>
        <v>4.566883036574213E-12</v>
      </c>
      <c r="BH184" s="62">
        <f t="shared" si="116"/>
        <v>293.33333333333786</v>
      </c>
      <c r="BI184" s="62">
        <f ca="1">AVERAGE(OFFSET($BH$3,0,0,'Données projet'!$E$11+1,1))-AVERAGE(OFFSET($H$3,0,0,'Données projet'!$E$11+1,1))</f>
        <v>321.23599968992932</v>
      </c>
      <c r="BJ184" s="62">
        <f t="shared" si="146"/>
        <v>388.05195847800502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10.703872356717975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10.703872356717975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295.83974441964551</v>
      </c>
      <c r="T185" s="62">
        <f t="shared" si="142"/>
        <v>212.24900914818096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25.250690157287668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1.3987352499027979E-14</v>
      </c>
      <c r="AC185" s="24">
        <f t="shared" si="163"/>
        <v>25.250690157287682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-4.5474735088646412E-13</v>
      </c>
      <c r="AJ185" s="14">
        <f>AI185*VLOOKUP('Données projet'!$B$10,Paramètres!$A$1:$I$89,3,0)*VLOOKUP('Données projet'!$B$10,Paramètres!$A$1:$I$89,5,0)</f>
        <v>-2.5420376914553347E-13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512.21337090113502</v>
      </c>
      <c r="AO185" s="62">
        <f t="shared" si="144"/>
        <v>621.03633124474163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32.786890887875053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1.1229310029241265E-16</v>
      </c>
      <c r="AX185" s="23">
        <f t="shared" si="166"/>
        <v>32.786890887875053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1.9895196601282805E-13</v>
      </c>
      <c r="BE185" s="14">
        <f>BD185*VLOOKUP('Données projet'!$B$11,Paramètres!$A$1:$I$89,3,0)*VLOOKUP('Données projet'!$B$11,Paramètres!$A$1:$I$89,5,0)</f>
        <v>1.738044375088066E-13</v>
      </c>
      <c r="BF185" s="14">
        <f t="shared" si="167"/>
        <v>2.4483293633950478E-12</v>
      </c>
      <c r="BG185" s="22">
        <f t="shared" si="168"/>
        <v>4.566883036574213E-12</v>
      </c>
      <c r="BH185" s="62">
        <f t="shared" si="116"/>
        <v>293.33333333333786</v>
      </c>
      <c r="BI185" s="62">
        <f ca="1">AVERAGE(OFFSET($BH$3,0,0,'Données projet'!$E$11+1,1))-AVERAGE(OFFSET($H$3,0,0,'Données projet'!$E$11+1,1))</f>
        <v>321.23599968992932</v>
      </c>
      <c r="BJ185" s="62">
        <f t="shared" si="146"/>
        <v>388.05195847800502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10.493975948520216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10.493975948520216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295.83974441964551</v>
      </c>
      <c r="T186" s="62">
        <f t="shared" si="142"/>
        <v>212.24900914818096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24.75553952470349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9.8905518029092869E-15</v>
      </c>
      <c r="AC186" s="24">
        <f t="shared" si="163"/>
        <v>24.755539524703501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-4.5474735088646412E-13</v>
      </c>
      <c r="AJ186" s="14">
        <f>AI186*VLOOKUP('Données projet'!$B$10,Paramètres!$A$1:$I$89,3,0)*VLOOKUP('Données projet'!$B$10,Paramètres!$A$1:$I$89,5,0)</f>
        <v>-2.5420376914553347E-13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512.21337090113502</v>
      </c>
      <c r="AO186" s="62">
        <f t="shared" si="144"/>
        <v>621.03633124474163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32.143959955592621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7.9403212697226068E-17</v>
      </c>
      <c r="AX186" s="23">
        <f t="shared" si="166"/>
        <v>32.143959955592621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1.9895196601282805E-13</v>
      </c>
      <c r="BE186" s="14">
        <f>BD186*VLOOKUP('Données projet'!$B$11,Paramètres!$A$1:$I$89,3,0)*VLOOKUP('Données projet'!$B$11,Paramètres!$A$1:$I$89,5,0)</f>
        <v>1.738044375088066E-13</v>
      </c>
      <c r="BF186" s="14">
        <f t="shared" si="167"/>
        <v>2.4483293633950478E-12</v>
      </c>
      <c r="BG186" s="22">
        <f t="shared" si="168"/>
        <v>4.566883036574213E-12</v>
      </c>
      <c r="BH186" s="62">
        <f t="shared" si="116"/>
        <v>293.33333333333786</v>
      </c>
      <c r="BI186" s="62">
        <f ca="1">AVERAGE(OFFSET($BH$3,0,0,'Données projet'!$E$11+1,1))-AVERAGE(OFFSET($H$3,0,0,'Données projet'!$E$11+1,1))</f>
        <v>321.23599968992932</v>
      </c>
      <c r="BJ186" s="62">
        <f t="shared" si="146"/>
        <v>388.05195847800502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10.288195480863047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10.288195480863047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295.83974441964551</v>
      </c>
      <c r="T187" s="62">
        <f t="shared" si="142"/>
        <v>212.24900914818096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24.270098494012224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6.993676249513991E-15</v>
      </c>
      <c r="AC187" s="24">
        <f t="shared" si="163"/>
        <v>24.270098494012231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-4.5474735088646412E-13</v>
      </c>
      <c r="AJ187" s="14">
        <f>AI187*VLOOKUP('Données projet'!$B$10,Paramètres!$A$1:$I$89,3,0)*VLOOKUP('Données projet'!$B$10,Paramètres!$A$1:$I$89,5,0)</f>
        <v>-2.5420376914553347E-13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512.21337090113502</v>
      </c>
      <c r="AO187" s="62">
        <f t="shared" si="144"/>
        <v>621.03633124474163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31.513636506743101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5.6146550146206324E-17</v>
      </c>
      <c r="AX187" s="23">
        <f t="shared" si="166"/>
        <v>31.513636506743101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1.9895196601282805E-13</v>
      </c>
      <c r="BE187" s="14">
        <f>BD187*VLOOKUP('Données projet'!$B$11,Paramètres!$A$1:$I$89,3,0)*VLOOKUP('Données projet'!$B$11,Paramètres!$A$1:$I$89,5,0)</f>
        <v>1.738044375088066E-13</v>
      </c>
      <c r="BF187" s="14">
        <f t="shared" si="167"/>
        <v>2.4483293633950478E-12</v>
      </c>
      <c r="BG187" s="22">
        <f t="shared" si="168"/>
        <v>4.566883036574213E-12</v>
      </c>
      <c r="BH187" s="62">
        <f t="shared" si="116"/>
        <v>293.33333333333786</v>
      </c>
      <c r="BI187" s="62">
        <f ca="1">AVERAGE(OFFSET($BH$3,0,0,'Données projet'!$E$11+1,1))-AVERAGE(OFFSET($H$3,0,0,'Données projet'!$E$11+1,1))</f>
        <v>321.23599968992932</v>
      </c>
      <c r="BJ187" s="62">
        <f t="shared" si="146"/>
        <v>388.05195847800502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10.086450242662943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10.086450242662943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295.83974441964551</v>
      </c>
      <c r="T188" s="62">
        <f t="shared" si="142"/>
        <v>212.24900914818096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23.794176665843022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4.9452759014546442E-15</v>
      </c>
      <c r="AC188" s="24">
        <f t="shared" si="163"/>
        <v>23.794176665843025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-4.5474735088646412E-13</v>
      </c>
      <c r="AJ188" s="14">
        <f>AI188*VLOOKUP('Données projet'!$B$10,Paramètres!$A$1:$I$89,3,0)*VLOOKUP('Données projet'!$B$10,Paramètres!$A$1:$I$89,5,0)</f>
        <v>-2.5420376914553347E-13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512.21337090113502</v>
      </c>
      <c r="AO188" s="62">
        <f t="shared" si="144"/>
        <v>621.03633124474163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30.89567331626618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3.9701606348613034E-17</v>
      </c>
      <c r="AX188" s="23">
        <f t="shared" si="166"/>
        <v>30.89567331626618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1.9895196601282805E-13</v>
      </c>
      <c r="BE188" s="14">
        <f>BD188*VLOOKUP('Données projet'!$B$11,Paramètres!$A$1:$I$89,3,0)*VLOOKUP('Données projet'!$B$11,Paramètres!$A$1:$I$89,5,0)</f>
        <v>1.738044375088066E-13</v>
      </c>
      <c r="BF188" s="14">
        <f t="shared" si="167"/>
        <v>2.4483293633950478E-12</v>
      </c>
      <c r="BG188" s="22">
        <f t="shared" si="168"/>
        <v>4.566883036574213E-12</v>
      </c>
      <c r="BH188" s="62">
        <f t="shared" si="116"/>
        <v>293.33333333333786</v>
      </c>
      <c r="BI188" s="62">
        <f ca="1">AVERAGE(OFFSET($BH$3,0,0,'Données projet'!$E$11+1,1))-AVERAGE(OFFSET($H$3,0,0,'Données projet'!$E$11+1,1))</f>
        <v>321.23599968992932</v>
      </c>
      <c r="BJ188" s="62">
        <f t="shared" si="146"/>
        <v>388.05195847800502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9.888661105531499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9.888661105531499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295.83974441964551</v>
      </c>
      <c r="T189" s="62">
        <f t="shared" si="142"/>
        <v>212.24900914818096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23.327587374440565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3.4968381247569959E-15</v>
      </c>
      <c r="AC189" s="24">
        <f t="shared" si="163"/>
        <v>23.327587374440569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-4.5474735088646412E-13</v>
      </c>
      <c r="AJ189" s="14">
        <f>AI189*VLOOKUP('Données projet'!$B$10,Paramètres!$A$1:$I$89,3,0)*VLOOKUP('Données projet'!$B$10,Paramètres!$A$1:$I$89,5,0)</f>
        <v>-2.5420376914553347E-13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512.21337090113502</v>
      </c>
      <c r="AO189" s="62">
        <f t="shared" si="144"/>
        <v>621.03633124474163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30.289828007034185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2.8073275073103162E-17</v>
      </c>
      <c r="AX189" s="23">
        <f t="shared" si="166"/>
        <v>30.289828007034185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1.9895196601282805E-13</v>
      </c>
      <c r="BE189" s="14">
        <f>BD189*VLOOKUP('Données projet'!$B$11,Paramètres!$A$1:$I$89,3,0)*VLOOKUP('Données projet'!$B$11,Paramètres!$A$1:$I$89,5,0)</f>
        <v>1.738044375088066E-13</v>
      </c>
      <c r="BF189" s="14">
        <f t="shared" si="167"/>
        <v>2.4483293633950478E-12</v>
      </c>
      <c r="BG189" s="22">
        <f t="shared" si="168"/>
        <v>4.566883036574213E-12</v>
      </c>
      <c r="BH189" s="62">
        <f t="shared" si="116"/>
        <v>293.33333333333786</v>
      </c>
      <c r="BI189" s="62">
        <f ca="1">AVERAGE(OFFSET($BH$3,0,0,'Données projet'!$E$11+1,1))-AVERAGE(OFFSET($H$3,0,0,'Données projet'!$E$11+1,1))</f>
        <v>321.23599968992932</v>
      </c>
      <c r="BJ189" s="62">
        <f t="shared" si="146"/>
        <v>388.05195847800502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9.6947504927397414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9.6947504927397414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295.83974441964551</v>
      </c>
      <c r="T190" s="62">
        <f t="shared" si="142"/>
        <v>212.24900914818096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22.870147614451145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2.4726379507273225E-15</v>
      </c>
      <c r="AC190" s="24">
        <f t="shared" si="163"/>
        <v>22.870147614451149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-4.5474735088646412E-13</v>
      </c>
      <c r="AJ190" s="14">
        <f>AI190*VLOOKUP('Données projet'!$B$10,Paramètres!$A$1:$I$89,3,0)*VLOOKUP('Données projet'!$B$10,Paramètres!$A$1:$I$89,5,0)</f>
        <v>-2.5420376914553347E-13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512.21337090113502</v>
      </c>
      <c r="AO190" s="62">
        <f t="shared" si="144"/>
        <v>621.03633124474163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29.695862954787078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1.9850803174306517E-17</v>
      </c>
      <c r="AX190" s="23">
        <f t="shared" si="166"/>
        <v>29.695862954787078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1.9895196601282805E-13</v>
      </c>
      <c r="BE190" s="14">
        <f>BD190*VLOOKUP('Données projet'!$B$11,Paramètres!$A$1:$I$89,3,0)*VLOOKUP('Données projet'!$B$11,Paramètres!$A$1:$I$89,5,0)</f>
        <v>1.738044375088066E-13</v>
      </c>
      <c r="BF190" s="14">
        <f t="shared" si="167"/>
        <v>2.4483293633950478E-12</v>
      </c>
      <c r="BG190" s="22">
        <f t="shared" si="168"/>
        <v>4.566883036574213E-12</v>
      </c>
      <c r="BH190" s="62">
        <f t="shared" si="116"/>
        <v>293.33333333333786</v>
      </c>
      <c r="BI190" s="62">
        <f ca="1">AVERAGE(OFFSET($BH$3,0,0,'Données projet'!$E$11+1,1))-AVERAGE(OFFSET($H$3,0,0,'Données projet'!$E$11+1,1))</f>
        <v>321.23599968992932</v>
      </c>
      <c r="BJ190" s="62">
        <f t="shared" si="146"/>
        <v>388.05195847800502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9.5046423487910339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9.5046423487910339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295.83974441964551</v>
      </c>
      <c r="T191" s="62">
        <f t="shared" si="142"/>
        <v>212.24900914818096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22.421677969144412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1.7484190623784982E-15</v>
      </c>
      <c r="AC191" s="24">
        <f t="shared" si="163"/>
        <v>22.421677969144412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-4.5474735088646412E-13</v>
      </c>
      <c r="AJ191" s="14">
        <f>AI191*VLOOKUP('Données projet'!$B$10,Paramètres!$A$1:$I$89,3,0)*VLOOKUP('Données projet'!$B$10,Paramètres!$A$1:$I$89,5,0)</f>
        <v>-2.5420376914553347E-13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512.21337090113502</v>
      </c>
      <c r="AO191" s="62">
        <f t="shared" si="144"/>
        <v>621.03633124474163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29.113545194931625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1.4036637536551581E-17</v>
      </c>
      <c r="AX191" s="23">
        <f t="shared" si="166"/>
        <v>29.113545194931625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1.9895196601282805E-13</v>
      </c>
      <c r="BE191" s="14">
        <f>BD191*VLOOKUP('Données projet'!$B$11,Paramètres!$A$1:$I$89,3,0)*VLOOKUP('Données projet'!$B$11,Paramètres!$A$1:$I$89,5,0)</f>
        <v>1.738044375088066E-13</v>
      </c>
      <c r="BF191" s="14">
        <f t="shared" si="167"/>
        <v>2.4483293633950478E-12</v>
      </c>
      <c r="BG191" s="22">
        <f t="shared" si="168"/>
        <v>4.566883036574213E-12</v>
      </c>
      <c r="BH191" s="62">
        <f t="shared" si="116"/>
        <v>293.33333333333786</v>
      </c>
      <c r="BI191" s="62">
        <f ca="1">AVERAGE(OFFSET($BH$3,0,0,'Données projet'!$E$11+1,1))-AVERAGE(OFFSET($H$3,0,0,'Données projet'!$E$11+1,1))</f>
        <v>321.23599968992932</v>
      </c>
      <c r="BJ191" s="62">
        <f t="shared" si="146"/>
        <v>388.05195847800502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9.318262109590643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9.318262109590643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295.83974441964551</v>
      </c>
      <c r="T192" s="62">
        <f t="shared" si="142"/>
        <v>212.24900914818096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21.982002540042672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1.2363189753636615E-15</v>
      </c>
      <c r="AC192" s="24">
        <f t="shared" si="163"/>
        <v>21.982002540042672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-4.5474735088646412E-13</v>
      </c>
      <c r="AJ192" s="14">
        <f>AI192*VLOOKUP('Données projet'!$B$10,Paramètres!$A$1:$I$89,3,0)*VLOOKUP('Données projet'!$B$10,Paramètres!$A$1:$I$89,5,0)</f>
        <v>-2.5420376914553347E-13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512.21337090113502</v>
      </c>
      <c r="AO192" s="62">
        <f t="shared" si="144"/>
        <v>621.03633124474163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28.542646331168175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9.9254015871532584E-18</v>
      </c>
      <c r="AX192" s="23">
        <f t="shared" si="166"/>
        <v>28.542646331168175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1.9895196601282805E-13</v>
      </c>
      <c r="BE192" s="14">
        <f>BD192*VLOOKUP('Données projet'!$B$11,Paramètres!$A$1:$I$89,3,0)*VLOOKUP('Données projet'!$B$11,Paramètres!$A$1:$I$89,5,0)</f>
        <v>1.738044375088066E-13</v>
      </c>
      <c r="BF192" s="14">
        <f t="shared" si="167"/>
        <v>2.4483293633950478E-12</v>
      </c>
      <c r="BG192" s="22">
        <f t="shared" si="168"/>
        <v>4.566883036574213E-12</v>
      </c>
      <c r="BH192" s="62">
        <f t="shared" si="116"/>
        <v>293.33333333333786</v>
      </c>
      <c r="BI192" s="62">
        <f ca="1">AVERAGE(OFFSET($BH$3,0,0,'Données projet'!$E$11+1,1))-AVERAGE(OFFSET($H$3,0,0,'Données projet'!$E$11+1,1))</f>
        <v>321.23599968992932</v>
      </c>
      <c r="BJ192" s="62">
        <f t="shared" si="146"/>
        <v>388.05195847800502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9.1355366732002512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9.1355366732002512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295.83974441964551</v>
      </c>
      <c r="T193" s="62">
        <f t="shared" si="142"/>
        <v>212.24900914818096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21.550948877930082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8.7420953118924927E-16</v>
      </c>
      <c r="AC193" s="24">
        <f t="shared" si="163"/>
        <v>21.550948877930082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-4.5474735088646412E-13</v>
      </c>
      <c r="AJ193" s="14">
        <f>AI193*VLOOKUP('Données projet'!$B$10,Paramètres!$A$1:$I$89,3,0)*VLOOKUP('Données projet'!$B$10,Paramètres!$A$1:$I$89,5,0)</f>
        <v>-2.5420376914553347E-13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512.21337090113502</v>
      </c>
      <c r="AO193" s="62">
        <f t="shared" si="144"/>
        <v>621.03633124474163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27.982942445909202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7.0183187682757905E-18</v>
      </c>
      <c r="AX193" s="23">
        <f t="shared" si="166"/>
        <v>27.982942445909202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1.9895196601282805E-13</v>
      </c>
      <c r="BE193" s="14">
        <f>BD193*VLOOKUP('Données projet'!$B$11,Paramètres!$A$1:$I$89,3,0)*VLOOKUP('Données projet'!$B$11,Paramètres!$A$1:$I$89,5,0)</f>
        <v>1.738044375088066E-13</v>
      </c>
      <c r="BF193" s="14">
        <f t="shared" si="167"/>
        <v>2.4483293633950478E-12</v>
      </c>
      <c r="BG193" s="22">
        <f t="shared" si="168"/>
        <v>4.566883036574213E-12</v>
      </c>
      <c r="BH193" s="62">
        <f t="shared" si="116"/>
        <v>293.33333333333786</v>
      </c>
      <c r="BI193" s="62">
        <f ca="1">AVERAGE(OFFSET($BH$3,0,0,'Données projet'!$E$11+1,1))-AVERAGE(OFFSET($H$3,0,0,'Données projet'!$E$11+1,1))</f>
        <v>321.23599968992932</v>
      </c>
      <c r="BJ193" s="62">
        <f t="shared" si="146"/>
        <v>388.05195847800502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8.9563943711659633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8.9563943711659633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295.83974441964551</v>
      </c>
      <c r="T194" s="62">
        <f t="shared" si="142"/>
        <v>212.24900914818096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21.12834791521475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6.1815948768183083E-16</v>
      </c>
      <c r="AC194" s="24">
        <f t="shared" si="163"/>
        <v>21.12834791521475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-4.5474735088646412E-13</v>
      </c>
      <c r="AJ194" s="14">
        <f>AI194*VLOOKUP('Données projet'!$B$10,Paramètres!$A$1:$I$89,3,0)*VLOOKUP('Données projet'!$B$10,Paramètres!$A$1:$I$89,5,0)</f>
        <v>-2.5420376914553347E-13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512.21337090113502</v>
      </c>
      <c r="AO194" s="62">
        <f t="shared" si="144"/>
        <v>621.03633124474163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27.4342140124545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4.9627007935766292E-18</v>
      </c>
      <c r="AX194" s="23">
        <f t="shared" si="166"/>
        <v>27.4342140124545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1.9895196601282805E-13</v>
      </c>
      <c r="BE194" s="14">
        <f>BD194*VLOOKUP('Données projet'!$B$11,Paramètres!$A$1:$I$89,3,0)*VLOOKUP('Données projet'!$B$11,Paramètres!$A$1:$I$89,5,0)</f>
        <v>1.738044375088066E-13</v>
      </c>
      <c r="BF194" s="14">
        <f t="shared" si="167"/>
        <v>2.4483293633950478E-12</v>
      </c>
      <c r="BG194" s="22">
        <f t="shared" si="168"/>
        <v>4.566883036574213E-12</v>
      </c>
      <c r="BH194" s="62">
        <f t="shared" si="116"/>
        <v>293.33333333333786</v>
      </c>
      <c r="BI194" s="62">
        <f ca="1">AVERAGE(OFFSET($BH$3,0,0,'Données projet'!$E$11+1,1))-AVERAGE(OFFSET($H$3,0,0,'Données projet'!$E$11+1,1))</f>
        <v>321.23599968992932</v>
      </c>
      <c r="BJ194" s="62">
        <f t="shared" si="146"/>
        <v>388.05195847800502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8.7807649404085524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8.7807649404085524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295.83974441964551</v>
      </c>
      <c r="T195" s="62">
        <f t="shared" si="142"/>
        <v>212.24900914818096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20.714033899617128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4.3710476559462469E-16</v>
      </c>
      <c r="AC195" s="24">
        <f t="shared" si="163"/>
        <v>20.714033899617128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-4.5474735088646412E-13</v>
      </c>
      <c r="AJ195" s="14">
        <f>AI195*VLOOKUP('Données projet'!$B$10,Paramètres!$A$1:$I$89,3,0)*VLOOKUP('Données projet'!$B$10,Paramètres!$A$1:$I$89,5,0)</f>
        <v>-2.5420376914553347E-13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512.21337090113502</v>
      </c>
      <c r="AO195" s="62">
        <f t="shared" si="144"/>
        <v>621.03633124474163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26.896245808888548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3.5091593841378953E-18</v>
      </c>
      <c r="AX195" s="23">
        <f t="shared" si="166"/>
        <v>26.896245808888548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1.9895196601282805E-13</v>
      </c>
      <c r="BE195" s="14">
        <f>BD195*VLOOKUP('Données projet'!$B$11,Paramètres!$A$1:$I$89,3,0)*VLOOKUP('Données projet'!$B$11,Paramètres!$A$1:$I$89,5,0)</f>
        <v>1.738044375088066E-13</v>
      </c>
      <c r="BF195" s="14">
        <f t="shared" si="167"/>
        <v>2.4483293633950478E-12</v>
      </c>
      <c r="BG195" s="22">
        <f t="shared" si="168"/>
        <v>4.566883036574213E-12</v>
      </c>
      <c r="BH195" s="62">
        <f t="shared" si="116"/>
        <v>293.33333333333786</v>
      </c>
      <c r="BI195" s="62">
        <f ca="1">AVERAGE(OFFSET($BH$3,0,0,'Données projet'!$E$11+1,1))-AVERAGE(OFFSET($H$3,0,0,'Données projet'!$E$11+1,1))</f>
        <v>321.23599968992932</v>
      </c>
      <c r="BJ195" s="62">
        <f t="shared" si="146"/>
        <v>388.05195847800502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8.6085794956649195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8.6085794956649195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295.83974441964551</v>
      </c>
      <c r="T196" s="62">
        <f t="shared" si="142"/>
        <v>212.24900914818096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20.30784432915878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3.0907974384091546E-16</v>
      </c>
      <c r="AC196" s="24">
        <f t="shared" si="163"/>
        <v>20.30784432915878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-4.5474735088646412E-13</v>
      </c>
      <c r="AJ196" s="14">
        <f>AI196*VLOOKUP('Données projet'!$B$10,Paramètres!$A$1:$I$89,3,0)*VLOOKUP('Données projet'!$B$10,Paramètres!$A$1:$I$89,5,0)</f>
        <v>-2.5420376914553347E-13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512.21337090113502</v>
      </c>
      <c r="AO196" s="62">
        <f t="shared" si="144"/>
        <v>621.03633124474163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26.368826833666319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2.4813503967883146E-18</v>
      </c>
      <c r="AX196" s="23">
        <f t="shared" si="166"/>
        <v>26.368826833666319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1.9895196601282805E-13</v>
      </c>
      <c r="BE196" s="14">
        <f>BD196*VLOOKUP('Données projet'!$B$11,Paramètres!$A$1:$I$89,3,0)*VLOOKUP('Données projet'!$B$11,Paramètres!$A$1:$I$89,5,0)</f>
        <v>1.738044375088066E-13</v>
      </c>
      <c r="BF196" s="14">
        <f t="shared" si="167"/>
        <v>2.4483293633950478E-12</v>
      </c>
      <c r="BG196" s="22">
        <f t="shared" si="168"/>
        <v>4.566883036574213E-12</v>
      </c>
      <c r="BH196" s="62">
        <f t="shared" ref="BH196:BH203" si="194">BG196+(AY196+AZ196)*44/12</f>
        <v>293.33333333333786</v>
      </c>
      <c r="BI196" s="62">
        <f ca="1">AVERAGE(OFFSET($BH$3,0,0,'Données projet'!$E$11+1,1))-AVERAGE(OFFSET($H$3,0,0,'Données projet'!$E$11+1,1))</f>
        <v>321.23599968992932</v>
      </c>
      <c r="BJ196" s="62">
        <f t="shared" si="146"/>
        <v>388.05195847800502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8.4397705024699583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8.4397705024699583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295.83974441964551</v>
      </c>
      <c r="T197" s="62">
        <f t="shared" ref="T197:T203" si="204">$T$3</f>
        <v>212.24900914818096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19.909619888425944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2.1855238279731239E-16</v>
      </c>
      <c r="AC197" s="24">
        <f t="shared" si="163"/>
        <v>19.909619888425944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-4.5474735088646412E-13</v>
      </c>
      <c r="AJ197" s="14">
        <f>AI197*VLOOKUP('Données projet'!$B$10,Paramètres!$A$1:$I$89,3,0)*VLOOKUP('Données projet'!$B$10,Paramètres!$A$1:$I$89,5,0)</f>
        <v>-2.5420376914553347E-13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512.21337090113502</v>
      </c>
      <c r="AO197" s="62">
        <f t="shared" ref="AO197:AO203" si="205">$AO$3</f>
        <v>621.03633124474163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25.851750222854388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1.7545796920689476E-18</v>
      </c>
      <c r="AX197" s="23">
        <f t="shared" si="166"/>
        <v>25.851750222854388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1.9895196601282805E-13</v>
      </c>
      <c r="BE197" s="14">
        <f>BD197*VLOOKUP('Données projet'!$B$11,Paramètres!$A$1:$I$89,3,0)*VLOOKUP('Données projet'!$B$11,Paramètres!$A$1:$I$89,5,0)</f>
        <v>1.738044375088066E-13</v>
      </c>
      <c r="BF197" s="14">
        <f t="shared" si="167"/>
        <v>2.4483293633950478E-12</v>
      </c>
      <c r="BG197" s="22">
        <f t="shared" si="168"/>
        <v>4.566883036574213E-12</v>
      </c>
      <c r="BH197" s="62">
        <f t="shared" si="194"/>
        <v>293.33333333333786</v>
      </c>
      <c r="BI197" s="62">
        <f ca="1">AVERAGE(OFFSET($BH$3,0,0,'Données projet'!$E$11+1,1))-AVERAGE(OFFSET($H$3,0,0,'Données projet'!$E$11+1,1))</f>
        <v>321.23599968992932</v>
      </c>
      <c r="BJ197" s="62">
        <f t="shared" ref="BJ197:BJ203" si="206">$BJ$3</f>
        <v>388.05195847800502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8.2742717506682304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8.2742717506682304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295.83974441964551</v>
      </c>
      <c r="T198" s="62">
        <f t="shared" si="204"/>
        <v>212.24900914818096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19.519204386082954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1.5453987192045776E-16</v>
      </c>
      <c r="AC198" s="24">
        <f t="shared" si="163"/>
        <v>19.519204386082954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-4.5474735088646412E-13</v>
      </c>
      <c r="AJ198" s="14">
        <f>AI198*VLOOKUP('Données projet'!$B$10,Paramètres!$A$1:$I$89,3,0)*VLOOKUP('Données projet'!$B$10,Paramètres!$A$1:$I$89,5,0)</f>
        <v>-2.5420376914553347E-13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512.21337090113502</v>
      </c>
      <c r="AO198" s="62">
        <f t="shared" si="205"/>
        <v>621.03633124474163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25.344813168994889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1.2406751983941573E-18</v>
      </c>
      <c r="AX198" s="23">
        <f t="shared" si="166"/>
        <v>25.344813168994889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1.9895196601282805E-13</v>
      </c>
      <c r="BE198" s="14">
        <f>BD198*VLOOKUP('Données projet'!$B$11,Paramètres!$A$1:$I$89,3,0)*VLOOKUP('Données projet'!$B$11,Paramètres!$A$1:$I$89,5,0)</f>
        <v>1.738044375088066E-13</v>
      </c>
      <c r="BF198" s="14">
        <f t="shared" si="167"/>
        <v>2.4483293633950478E-12</v>
      </c>
      <c r="BG198" s="22">
        <f t="shared" si="168"/>
        <v>4.566883036574213E-12</v>
      </c>
      <c r="BH198" s="62">
        <f t="shared" si="194"/>
        <v>293.33333333333786</v>
      </c>
      <c r="BI198" s="62">
        <f ca="1">AVERAGE(OFFSET($BH$3,0,0,'Données projet'!$E$11+1,1))-AVERAGE(OFFSET($H$3,0,0,'Données projet'!$E$11+1,1))</f>
        <v>321.23599968992932</v>
      </c>
      <c r="BJ198" s="62">
        <f t="shared" si="206"/>
        <v>388.05195847800502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8.112018328445064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8.112018328445064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295.83974441964551</v>
      </c>
      <c r="T199" s="62">
        <f t="shared" si="204"/>
        <v>212.24900914818096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19.136444693610969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1.0927619139865621E-16</v>
      </c>
      <c r="AC199" s="24">
        <f t="shared" si="163"/>
        <v>19.136444693610969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-4.5474735088646412E-13</v>
      </c>
      <c r="AJ199" s="14">
        <f>AI199*VLOOKUP('Données projet'!$B$10,Paramètres!$A$1:$I$89,3,0)*VLOOKUP('Données projet'!$B$10,Paramètres!$A$1:$I$89,5,0)</f>
        <v>-2.5420376914553347E-13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512.21337090113502</v>
      </c>
      <c r="AO199" s="62">
        <f t="shared" si="205"/>
        <v>621.03633124474163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24.847816841560501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8.7728984603447382E-19</v>
      </c>
      <c r="AX199" s="23">
        <f t="shared" si="166"/>
        <v>24.847816841560501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1.9895196601282805E-13</v>
      </c>
      <c r="BE199" s="14">
        <f>BD199*VLOOKUP('Données projet'!$B$11,Paramètres!$A$1:$I$89,3,0)*VLOOKUP('Données projet'!$B$11,Paramètres!$A$1:$I$89,5,0)</f>
        <v>1.738044375088066E-13</v>
      </c>
      <c r="BF199" s="14">
        <f t="shared" si="167"/>
        <v>2.4483293633950478E-12</v>
      </c>
      <c r="BG199" s="22">
        <f t="shared" si="168"/>
        <v>4.566883036574213E-12</v>
      </c>
      <c r="BH199" s="62">
        <f t="shared" si="194"/>
        <v>293.33333333333786</v>
      </c>
      <c r="BI199" s="62">
        <f ca="1">AVERAGE(OFFSET($BH$3,0,0,'Données projet'!$E$11+1,1))-AVERAGE(OFFSET($H$3,0,0,'Données projet'!$E$11+1,1))</f>
        <v>321.23599968992932</v>
      </c>
      <c r="BJ199" s="62">
        <f t="shared" si="206"/>
        <v>388.05195847800502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7.9529465968668775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7.9529465968668775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295.83974441964551</v>
      </c>
      <c r="T200" s="62">
        <f t="shared" si="204"/>
        <v>212.24900914818096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18.761190685248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7.726993596022889E-17</v>
      </c>
      <c r="AC200" s="24">
        <f t="shared" si="163"/>
        <v>18.761190685248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-4.5474735088646412E-13</v>
      </c>
      <c r="AJ200" s="14">
        <f>AI200*VLOOKUP('Données projet'!$B$10,Paramètres!$A$1:$I$89,3,0)*VLOOKUP('Données projet'!$B$10,Paramètres!$A$1:$I$89,5,0)</f>
        <v>-2.5420376914553347E-13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512.21337090113502</v>
      </c>
      <c r="AO200" s="62">
        <f t="shared" si="205"/>
        <v>621.03633124474163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24.360566308969275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6.2033759919707865E-19</v>
      </c>
      <c r="AX200" s="23">
        <f t="shared" si="166"/>
        <v>24.360566308969275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1.9895196601282805E-13</v>
      </c>
      <c r="BE200" s="14">
        <f>BD200*VLOOKUP('Données projet'!$B$11,Paramètres!$A$1:$I$89,3,0)*VLOOKUP('Données projet'!$B$11,Paramètres!$A$1:$I$89,5,0)</f>
        <v>1.738044375088066E-13</v>
      </c>
      <c r="BF200" s="14">
        <f t="shared" si="167"/>
        <v>2.4483293633950478E-12</v>
      </c>
      <c r="BG200" s="22">
        <f t="shared" si="168"/>
        <v>4.566883036574213E-12</v>
      </c>
      <c r="BH200" s="62">
        <f t="shared" si="194"/>
        <v>293.33333333333786</v>
      </c>
      <c r="BI200" s="62">
        <f ca="1">AVERAGE(OFFSET($BH$3,0,0,'Données projet'!$E$11+1,1))-AVERAGE(OFFSET($H$3,0,0,'Données projet'!$E$11+1,1))</f>
        <v>321.23599968992932</v>
      </c>
      <c r="BJ200" s="62">
        <f t="shared" si="206"/>
        <v>388.05195847800502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7.7969941649207639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7.7969941649207639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295.83974441964551</v>
      </c>
      <c r="T201" s="62">
        <f t="shared" si="204"/>
        <v>212.24900914818096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18.393295179106683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5.463809569932811E-17</v>
      </c>
      <c r="AC201" s="24">
        <f t="shared" si="163"/>
        <v>18.393295179106683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-4.5474735088646412E-13</v>
      </c>
      <c r="AJ201" s="14">
        <f>AI201*VLOOKUP('Données projet'!$B$10,Paramètres!$A$1:$I$89,3,0)*VLOOKUP('Données projet'!$B$10,Paramètres!$A$1:$I$89,5,0)</f>
        <v>-2.5420376914553347E-13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512.21337090113502</v>
      </c>
      <c r="AO201" s="62">
        <f t="shared" si="205"/>
        <v>621.03633124474163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23.882870462128682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4.3864492301723691E-19</v>
      </c>
      <c r="AX201" s="23">
        <f t="shared" si="166"/>
        <v>23.882870462128682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1.9895196601282805E-13</v>
      </c>
      <c r="BE201" s="14">
        <f>BD201*VLOOKUP('Données projet'!$B$11,Paramètres!$A$1:$I$89,3,0)*VLOOKUP('Données projet'!$B$11,Paramètres!$A$1:$I$89,5,0)</f>
        <v>1.738044375088066E-13</v>
      </c>
      <c r="BF201" s="14">
        <f t="shared" si="167"/>
        <v>2.4483293633950478E-12</v>
      </c>
      <c r="BG201" s="22">
        <f t="shared" si="168"/>
        <v>4.566883036574213E-12</v>
      </c>
      <c r="BH201" s="62">
        <f t="shared" si="194"/>
        <v>293.33333333333786</v>
      </c>
      <c r="BI201" s="62">
        <f ca="1">AVERAGE(OFFSET($BH$3,0,0,'Données projet'!$E$11+1,1))-AVERAGE(OFFSET($H$3,0,0,'Données projet'!$E$11+1,1))</f>
        <v>321.23599968992932</v>
      </c>
      <c r="BJ201" s="62">
        <f t="shared" si="206"/>
        <v>388.05195847800502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7.6440998650435219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7.6440998650435219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295.83974441964551</v>
      </c>
      <c r="T202" s="62">
        <f t="shared" si="204"/>
        <v>212.24900914818096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18.032613879446696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3.8634967980114451E-17</v>
      </c>
      <c r="AC202" s="24">
        <f t="shared" si="163"/>
        <v>18.032613879446696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-4.5474735088646412E-13</v>
      </c>
      <c r="AJ202" s="14">
        <f>AI202*VLOOKUP('Données projet'!$B$10,Paramètres!$A$1:$I$89,3,0)*VLOOKUP('Données projet'!$B$10,Paramètres!$A$1:$I$89,5,0)</f>
        <v>-2.5420376914553347E-13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512.21337090113502</v>
      </c>
      <c r="AO202" s="62">
        <f t="shared" si="205"/>
        <v>621.03633124474163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23.414541939478937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3.1016879959853933E-19</v>
      </c>
      <c r="AX202" s="23">
        <f t="shared" si="166"/>
        <v>23.414541939478937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1.9895196601282805E-13</v>
      </c>
      <c r="BE202" s="14">
        <f>BD202*VLOOKUP('Données projet'!$B$11,Paramètres!$A$1:$I$89,3,0)*VLOOKUP('Données projet'!$B$11,Paramètres!$A$1:$I$89,5,0)</f>
        <v>1.738044375088066E-13</v>
      </c>
      <c r="BF202" s="14">
        <f t="shared" si="167"/>
        <v>2.4483293633950478E-12</v>
      </c>
      <c r="BG202" s="22">
        <f t="shared" si="168"/>
        <v>4.566883036574213E-12</v>
      </c>
      <c r="BH202" s="62">
        <f t="shared" si="194"/>
        <v>293.33333333333786</v>
      </c>
      <c r="BI202" s="62">
        <f ca="1">AVERAGE(OFFSET($BH$3,0,0,'Données projet'!$E$11+1,1))-AVERAGE(OFFSET($H$3,0,0,'Données projet'!$E$11+1,1))</f>
        <v>321.23599968992932</v>
      </c>
      <c r="BJ202" s="62">
        <f t="shared" si="206"/>
        <v>388.05195847800502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7.4942037291305583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7.4942037291305583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295.83974441964551</v>
      </c>
      <c r="T203" s="62">
        <f t="shared" si="204"/>
        <v>212.24900914818096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17.67900532007917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2.7319047849664061E-17</v>
      </c>
      <c r="AC203" s="24">
        <f t="shared" si="163"/>
        <v>17.67900532007917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-4.5474735088646412E-13</v>
      </c>
      <c r="AJ203" s="14">
        <f>AI203*VLOOKUP('Données projet'!$B$10,Paramètres!$A$1:$I$89,3,0)*VLOOKUP('Données projet'!$B$10,Paramètres!$A$1:$I$89,5,0)</f>
        <v>-2.5420376914553347E-13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512.21337090113502</v>
      </c>
      <c r="AO203" s="62">
        <f t="shared" si="205"/>
        <v>621.03633124474163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22.955397053506161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2.1932246150861845E-19</v>
      </c>
      <c r="AX203" s="23">
        <f t="shared" si="166"/>
        <v>22.955397053506161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1.9895196601282805E-13</v>
      </c>
      <c r="BE203" s="14">
        <f>BD203*VLOOKUP('Données projet'!$B$11,Paramètres!$A$1:$I$89,3,0)*VLOOKUP('Données projet'!$B$11,Paramètres!$A$1:$I$89,5,0)</f>
        <v>1.738044375088066E-13</v>
      </c>
      <c r="BF203" s="14">
        <f t="shared" si="167"/>
        <v>2.4483293633950478E-12</v>
      </c>
      <c r="BG203" s="22">
        <f t="shared" si="168"/>
        <v>4.566883036574213E-12</v>
      </c>
      <c r="BH203" s="62">
        <f t="shared" si="194"/>
        <v>293.33333333333786</v>
      </c>
      <c r="BI203" s="62">
        <f ca="1">AVERAGE(OFFSET($BH$3,0,0,'Données projet'!$E$11+1,1))-AVERAGE(OFFSET($H$3,0,0,'Données projet'!$E$11+1,1))</f>
        <v>321.23599968992932</v>
      </c>
      <c r="BJ203" s="62">
        <f t="shared" si="206"/>
        <v>388.05195847800502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7.3472469650152332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7.3472469650152332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1.1932635389591795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1.3804627841663464</v>
      </c>
      <c r="BA205" s="88">
        <f>EXP(LN('Données projet'!B88)/'Données projet'!A88)</f>
        <v>1.3467943429205997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B1" workbookViewId="0">
      <selection activeCell="L7" sqref="L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laricio</v>
      </c>
      <c r="B6" s="155">
        <f>'Données projet'!D9</f>
        <v>1.4944999999999999</v>
      </c>
      <c r="C6" s="156">
        <f ca="1">IF(OR('Données projet'!B9="",'Données projet'!C9="",'Données projet'!C9=0%),0,Calculateur!S3)</f>
        <v>295.83974441964551</v>
      </c>
      <c r="D6" s="156">
        <f>IF(OR('Données projet'!B9="",'Données projet'!C9="",'Données projet'!C9=0%),0,Calculateur!T3)</f>
        <v>212.24900914818096</v>
      </c>
      <c r="E6" s="156">
        <f ca="1">MIN(C6,D6)</f>
        <v>212.24900914818096</v>
      </c>
      <c r="F6" s="156">
        <f ca="1">E6*B6</f>
        <v>317.20614417195645</v>
      </c>
      <c r="G6" s="156">
        <f ca="1">F6*(100%-'Données projet'!$C$24)*(100%-'Données projet'!$C$25)*(100%-'Données projet'!$C$26)*(100%-'Données projet'!$C$27)</f>
        <v>285.48552975476082</v>
      </c>
      <c r="H6" s="157">
        <f>IF(OR('Données projet'!B9="",'Données projet'!C9="",'Données projet'!C9=0%),0,AVERAGE(Calculateur!$AC$3:$AC$33)*B6)</f>
        <v>0.21217016072759323</v>
      </c>
      <c r="I6" s="158">
        <f>H6*(100%-'Données projet'!$C$24)*(100%-'Données projet'!$C$25)*(100%-'Données projet'!$C$26)*(100%-'Données projet'!$C$27)</f>
        <v>0.1909531446548339</v>
      </c>
      <c r="J6" s="159">
        <f>IF(OR('Données projet'!B9="",'Données projet'!C9="",'Données projet'!C9=0%),0,SUM(Calculateur!$V$3:$V$33)*VLOOKUP('Données projet'!$B$9,Paramètres!$A$1:$I$89,9,0)*B6)</f>
        <v>17.993779999999997</v>
      </c>
      <c r="K6" s="160">
        <f>J6*(100%-'Données projet'!$C$24)*(100%-'Données projet'!$C$25)*(100%-'Données projet'!$C$26)*(100%-'Données projet'!$C$27)</f>
        <v>16.194401999999997</v>
      </c>
      <c r="L6" s="161">
        <f ca="1">G6+I6+K6</f>
        <v>301.87088489941561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Douglas</v>
      </c>
      <c r="B7" s="163">
        <f>'Données projet'!D10</f>
        <v>1.0674999999999999</v>
      </c>
      <c r="C7" s="156">
        <f ca="1">IF(OR('Données projet'!B10="",'Données projet'!C10="",'Données projet'!C10=0%),0,Calculateur!AN3)</f>
        <v>512.21337090113502</v>
      </c>
      <c r="D7" s="156">
        <f>IF(OR('Données projet'!B10="",'Données projet'!C10="",'Données projet'!C10=0%),0,Calculateur!AO3)</f>
        <v>621.03633124474163</v>
      </c>
      <c r="E7" s="156">
        <f t="shared" ref="E7:E15" ca="1" si="0">MIN(C7,D7)</f>
        <v>512.21337090113502</v>
      </c>
      <c r="F7" s="156">
        <f t="shared" ref="F7:F15" ca="1" si="1">E7*B7</f>
        <v>546.78777343696163</v>
      </c>
      <c r="G7" s="156">
        <f ca="1">F7*(100%-'Données projet'!$C$24)*(100%-'Données projet'!$C$25)*(100%-'Données projet'!$C$26)*(100%-'Données projet'!$C$27)</f>
        <v>492.10899609326549</v>
      </c>
      <c r="H7" s="164">
        <f>IF(OR('Données projet'!B10="",'Données projet'!C10="",'Données projet'!C10=0%),0,AVERAGE(Calculateur!$AX$3:$AX$33)*B7)</f>
        <v>1.8053213045014311</v>
      </c>
      <c r="I7" s="158">
        <f>H7*(100%-'Données projet'!$C$24)*(100%-'Données projet'!$C$25)*(100%-'Données projet'!$C$26)*(100%-'Données projet'!$C$27)</f>
        <v>1.6247891740512881</v>
      </c>
      <c r="J7" s="159">
        <f>IF(OR('Données projet'!B10="",'Données projet'!C10="",'Données projet'!C10=0%),0,SUM(Calculateur!$AQ$3:$AQ$33)*VLOOKUP('Données projet'!$B$10,Paramètres!$A$1:$I$89,9,0)*B7)</f>
        <v>31.672724999999996</v>
      </c>
      <c r="K7" s="160">
        <f>J7*(100%-'Données projet'!$C$24)*(100%-'Données projet'!$C$25)*(100%-'Données projet'!$C$26)*(100%-'Données projet'!$C$27)</f>
        <v>28.505452499999997</v>
      </c>
      <c r="L7" s="161">
        <f t="shared" ref="L7:L15" ca="1" si="2">G7+I7+K7</f>
        <v>522.23923776731681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rouge d'Amérique</v>
      </c>
      <c r="B8" s="163">
        <f>'Données projet'!D11</f>
        <v>0.48799999999999999</v>
      </c>
      <c r="C8" s="156">
        <f ca="1">IF(OR('Données projet'!B11="",'Données projet'!C11="",'Données projet'!C11=0%),0,Calculateur!BI3)</f>
        <v>321.23599968992932</v>
      </c>
      <c r="D8" s="156">
        <f>IF(OR('Données projet'!B11="",'Données projet'!C11="",'Données projet'!C11=0%),0,Calculateur!BJ3)</f>
        <v>388.05195847800502</v>
      </c>
      <c r="E8" s="156">
        <f t="shared" ca="1" si="0"/>
        <v>321.23599968992932</v>
      </c>
      <c r="F8" s="156">
        <f t="shared" ca="1" si="1"/>
        <v>156.7631678486855</v>
      </c>
      <c r="G8" s="156">
        <f ca="1">F8*(100%-'Données projet'!$C$24)*(100%-'Données projet'!$C$25)*(100%-'Données projet'!$C$26)*(100%-'Données projet'!$C$27)</f>
        <v>141.08685106381697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18.544</v>
      </c>
      <c r="K8" s="160">
        <f>J8*(100%-'Données projet'!$C$24)*(100%-'Données projet'!$C$25)*(100%-'Données projet'!$C$26)*(100%-'Données projet'!$C$27)</f>
        <v>16.689600000000002</v>
      </c>
      <c r="L8" s="161">
        <f t="shared" ca="1" si="2"/>
        <v>157.77645106381698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1020.7570854576036</v>
      </c>
      <c r="G16" s="175">
        <f t="shared" ca="1" si="3"/>
        <v>918.68137691184324</v>
      </c>
      <c r="H16" s="176">
        <f t="shared" si="3"/>
        <v>2.0174914652290243</v>
      </c>
      <c r="I16" s="176">
        <f t="shared" si="3"/>
        <v>1.8157423187061219</v>
      </c>
      <c r="J16" s="177">
        <f t="shared" si="3"/>
        <v>68.210504999999998</v>
      </c>
      <c r="K16" s="177">
        <f t="shared" si="3"/>
        <v>61.389454499999999</v>
      </c>
      <c r="L16" s="178">
        <f t="shared" ca="1" si="3"/>
        <v>981.88657373054934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laricio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Douglas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rouge d'Amérique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P4" zoomScale="115" zoomScaleNormal="115" workbookViewId="0">
      <selection activeCell="U29" sqref="U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laricio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-821.67486135722083</v>
      </c>
      <c r="U10" s="190">
        <f>'Données projet'!D9</f>
        <v>1.4944999999999999</v>
      </c>
      <c r="V10" s="189">
        <f>U10*T10</f>
        <v>-1227.9930802983665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Douglas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1652.6010564705566</v>
      </c>
      <c r="U11" s="190">
        <f>'Données projet'!D10</f>
        <v>1.0674999999999999</v>
      </c>
      <c r="V11" s="189">
        <f t="shared" ref="V11" si="0">U11*T11</f>
        <v>1764.1516277823191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rouge d'Amérique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652.15221853781236</v>
      </c>
      <c r="U12" s="190">
        <f>'Données projet'!D11</f>
        <v>0.48799999999999999</v>
      </c>
      <c r="V12" s="189">
        <f t="shared" ref="V12:V19" si="1">U12*T12</f>
        <v>318.25028264645243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laricio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>
        <v>0</v>
      </c>
      <c r="I15" s="204">
        <v>1552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1560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1771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650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27</v>
      </c>
      <c r="B23" s="193">
        <f>'Données projet'!D36</f>
        <v>15</v>
      </c>
      <c r="C23" s="206">
        <v>1</v>
      </c>
      <c r="D23" s="194">
        <f>B23*C23</f>
        <v>15</v>
      </c>
      <c r="E23" s="206"/>
      <c r="F23" s="261"/>
      <c r="H23" s="203">
        <v>3</v>
      </c>
      <c r="I23" s="204">
        <v>650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-5028.6816794101069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13</v>
      </c>
      <c r="C24" s="206">
        <v>2</v>
      </c>
      <c r="D24" s="194">
        <f t="shared" ref="D24:D42" si="2">B24*C24</f>
        <v>26</v>
      </c>
      <c r="E24" s="206"/>
      <c r="F24" s="264"/>
      <c r="H24" s="203">
        <v>4</v>
      </c>
      <c r="I24" s="204">
        <v>650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3481.4252894933038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23</v>
      </c>
      <c r="C25" s="206">
        <v>5</v>
      </c>
      <c r="D25" s="194">
        <f t="shared" si="2"/>
        <v>115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52</v>
      </c>
      <c r="Q25" s="265"/>
      <c r="R25" s="25"/>
      <c r="S25" s="198" t="s">
        <v>266</v>
      </c>
      <c r="T25" s="341">
        <f ca="1">T23-T24</f>
        <v>-8510.1069689034102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34</v>
      </c>
      <c r="C26" s="206">
        <v>6</v>
      </c>
      <c r="D26" s="194">
        <f t="shared" si="2"/>
        <v>204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50</v>
      </c>
      <c r="B27" s="193">
        <f>'Données projet'!D40</f>
        <v>79</v>
      </c>
      <c r="C27" s="206">
        <v>9</v>
      </c>
      <c r="D27" s="194">
        <f t="shared" si="2"/>
        <v>711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60</v>
      </c>
      <c r="B28" s="193">
        <f>'Données projet'!D41</f>
        <v>88</v>
      </c>
      <c r="C28" s="206">
        <v>21</v>
      </c>
      <c r="D28" s="194">
        <f t="shared" si="2"/>
        <v>1848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70</v>
      </c>
      <c r="B29" s="193">
        <f>'Données projet'!D42</f>
        <v>78</v>
      </c>
      <c r="C29" s="206">
        <v>25</v>
      </c>
      <c r="D29" s="194">
        <f t="shared" si="2"/>
        <v>1950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80</v>
      </c>
      <c r="B30" s="193">
        <f>'Données projet'!D43</f>
        <v>460</v>
      </c>
      <c r="C30" s="206">
        <v>27</v>
      </c>
      <c r="D30" s="194">
        <f t="shared" si="2"/>
        <v>12420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1141.4509145879686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52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49.760765550239235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47.617957464343775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45.567423410855284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43.605189866847176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41.72745441803557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39.930578390464674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38.21107979948772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36.565626602380611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34.991030241512547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33.484239465562247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32.042334416805978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Douglas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30.662520973020087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29.342125333033572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28.078588835438833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1083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26.86946300041993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25.712404785090854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24.605172043149143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23.54561918004703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22.531692995260318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21.561428703598395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0</v>
      </c>
      <c r="C54" s="204">
        <v>5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20.632946127845354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20</v>
      </c>
      <c r="B55" s="193">
        <f>'Données projet'!D63</f>
        <v>0</v>
      </c>
      <c r="C55" s="204">
        <v>8.5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19.744446055354413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21</v>
      </c>
      <c r="C56" s="204">
        <v>24</v>
      </c>
      <c r="D56" s="191">
        <f t="shared" si="4"/>
        <v>504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18.894206751535322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48</v>
      </c>
      <c r="C57" s="204">
        <v>28.5</v>
      </c>
      <c r="D57" s="191">
        <f t="shared" si="4"/>
        <v>1368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18.080580623478781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35</v>
      </c>
      <c r="B58" s="193">
        <f>'Données projet'!D66</f>
        <v>61</v>
      </c>
      <c r="C58" s="204">
        <v>40</v>
      </c>
      <c r="D58" s="191">
        <f t="shared" si="4"/>
        <v>2440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17.301991027252424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40</v>
      </c>
      <c r="B59" s="193">
        <f>'Données projet'!D67</f>
        <v>64</v>
      </c>
      <c r="C59" s="204">
        <v>53</v>
      </c>
      <c r="D59" s="191">
        <f t="shared" si="4"/>
        <v>3392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16.556929212681748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45</v>
      </c>
      <c r="B60" s="193">
        <f>'Données projet'!D68</f>
        <v>70</v>
      </c>
      <c r="C60" s="204">
        <v>60</v>
      </c>
      <c r="D60" s="191">
        <f t="shared" si="4"/>
        <v>4200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15.843951399695452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50</v>
      </c>
      <c r="B61" s="193">
        <f>'Données projet'!D69</f>
        <v>73</v>
      </c>
      <c r="C61" s="204">
        <v>64</v>
      </c>
      <c r="D61" s="191">
        <f t="shared" si="4"/>
        <v>4672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15.161675980569814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55</v>
      </c>
      <c r="B62" s="193">
        <f>'Données projet'!D70</f>
        <v>67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14.508780842650538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60</v>
      </c>
      <c r="B63" s="193">
        <f>'Données projet'!D71</f>
        <v>61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13.884000806364156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65</v>
      </c>
      <c r="B64" s="193">
        <f>'Données projet'!D72</f>
        <v>700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13.286125173554213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12.7139953813916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12.166502757312537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11.642586370634007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11.141230976683261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10.661465049457668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10.202358899002554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9.7630228698589043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9.3426056170898608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8.9402924565453237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8.5553037861677748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8.1868935752801679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rouge d'Amérique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7.8343479189283913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7.4969836544769306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7.1741470377769669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561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6.8652124763415969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6.5695813170732977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6.2866806861945461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6.0159623791335362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5.7569017982139119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5.5089969360898676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15</v>
      </c>
      <c r="B85" s="193">
        <f>'Données projet'!D88</f>
        <v>21</v>
      </c>
      <c r="C85" s="204">
        <v>0.5</v>
      </c>
      <c r="D85" s="191">
        <f>B85*C85</f>
        <v>10.5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5.2717674029568125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20</v>
      </c>
      <c r="B86" s="193">
        <f>'Données projet'!D89</f>
        <v>43</v>
      </c>
      <c r="C86" s="204">
        <v>0.5</v>
      </c>
      <c r="D86" s="191">
        <f t="shared" ref="D86:D104" si="6">B86*C86</f>
        <v>21.5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5.0447534956524516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25</v>
      </c>
      <c r="B87" s="193">
        <f>'Données projet'!D90</f>
        <v>44</v>
      </c>
      <c r="C87" s="204">
        <v>6</v>
      </c>
      <c r="D87" s="191">
        <f t="shared" si="6"/>
        <v>264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4.8275153068444538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44</v>
      </c>
      <c r="C88" s="204">
        <v>6</v>
      </c>
      <c r="D88" s="191">
        <f t="shared" si="6"/>
        <v>264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4.6196318725784238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35</v>
      </c>
      <c r="B89" s="193">
        <f>'Données projet'!D92</f>
        <v>42</v>
      </c>
      <c r="C89" s="204">
        <v>8</v>
      </c>
      <c r="D89" s="191">
        <f t="shared" si="6"/>
        <v>336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4.4207003565343781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40</v>
      </c>
      <c r="B90" s="193">
        <f>'Données projet'!D93</f>
        <v>39</v>
      </c>
      <c r="C90" s="204">
        <v>12.5</v>
      </c>
      <c r="D90" s="191">
        <f t="shared" si="6"/>
        <v>487.5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4.2303352694108884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45</v>
      </c>
      <c r="B91" s="193">
        <f>'Données projet'!D94</f>
        <v>36</v>
      </c>
      <c r="C91" s="204">
        <v>15</v>
      </c>
      <c r="D91" s="191">
        <f t="shared" si="6"/>
        <v>540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4.0481677219242957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50</v>
      </c>
      <c r="B92" s="193">
        <f>'Données projet'!D95</f>
        <v>33</v>
      </c>
      <c r="C92" s="204">
        <v>21</v>
      </c>
      <c r="D92" s="191">
        <f t="shared" si="6"/>
        <v>693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3.873844709975403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55</v>
      </c>
      <c r="B93" s="193">
        <f>'Données projet'!D96</f>
        <v>29</v>
      </c>
      <c r="C93" s="204">
        <v>34</v>
      </c>
      <c r="D93" s="191">
        <f t="shared" si="6"/>
        <v>986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3.7070284305984722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60</v>
      </c>
      <c r="B94" s="193">
        <f>'Données projet'!D97</f>
        <v>26</v>
      </c>
      <c r="C94" s="204">
        <v>39</v>
      </c>
      <c r="D94" s="191">
        <f t="shared" si="6"/>
        <v>1014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3.5473956273669587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65</v>
      </c>
      <c r="B95" s="193">
        <f>'Données projet'!D98</f>
        <v>23</v>
      </c>
      <c r="C95" s="204">
        <v>45</v>
      </c>
      <c r="D95" s="191">
        <f t="shared" si="6"/>
        <v>1035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3.3946369639875216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70</v>
      </c>
      <c r="B96" s="193">
        <f>'Données projet'!D99</f>
        <v>249</v>
      </c>
      <c r="C96" s="204">
        <v>45</v>
      </c>
      <c r="D96" s="191">
        <f t="shared" si="6"/>
        <v>11205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3.2484564248684409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3.1085707415009023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2.9747088435415332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str">
        <f>IF(O98+1&lt;=MIN('Données projet'!$E$9:$E$18),O98+1,"STOP")</f>
        <v>STOP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2022-03-03T13:58:12Z</dcterms:modified>
</cp:coreProperties>
</file>